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mininteriorgovco-my.sharepoint.com/personal/yobani_alfonso_mininterior_gov_co/Documents/2024/FINANCIERA 2024/PAA/PLAN ANUAL DE ADQUISICIONES/PAA 2024/PUBLICACIONES WEB/"/>
    </mc:Choice>
  </mc:AlternateContent>
  <xr:revisionPtr revIDLastSave="1201" documentId="13_ncr:1_{C87640EA-A14D-478A-8762-0BD3119B9ACE}" xr6:coauthVersionLast="47" xr6:coauthVersionMax="47" xr10:uidLastSave="{D8055AD2-EBE0-4B42-81DA-78D25C8CB442}"/>
  <bookViews>
    <workbookView xWindow="-120" yWindow="-120" windowWidth="29040" windowHeight="15720" tabRatio="1000" xr2:uid="{00000000-000D-0000-FFFF-FFFF00000000}"/>
  </bookViews>
  <sheets>
    <sheet name="PRESENTACION " sheetId="3" r:id="rId1"/>
    <sheet name="PAA " sheetId="52" r:id="rId2"/>
    <sheet name="SECRETARIA G" sheetId="50" state="hidden" r:id="rId3"/>
  </sheets>
  <externalReferences>
    <externalReference r:id="rId4"/>
  </externalReferences>
  <definedNames>
    <definedName name="_xlnm._FilterDatabase" localSheetId="1" hidden="1">'PAA '!$A$5:$Z$829</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1" i="52" l="1"/>
  <c r="F167" i="52"/>
  <c r="F161" i="52"/>
  <c r="F170" i="52"/>
  <c r="F169" i="52"/>
  <c r="F166" i="52"/>
  <c r="F165" i="52"/>
  <c r="F369" i="52" l="1"/>
  <c r="F614" i="52" l="1"/>
  <c r="F613" i="52"/>
  <c r="F610" i="52"/>
  <c r="F599" i="52"/>
  <c r="F595" i="52"/>
  <c r="F589" i="52"/>
  <c r="F28" i="52" l="1"/>
  <c r="F24" i="52"/>
  <c r="F13" i="52" l="1"/>
  <c r="F534" i="52" l="1"/>
  <c r="F533" i="52"/>
  <c r="F234" i="52" l="1"/>
  <c r="F231" i="52"/>
  <c r="F349" i="52" l="1"/>
  <c r="F298" i="52"/>
  <c r="F107" i="52" l="1"/>
  <c r="F52" i="52" l="1"/>
  <c r="F50" i="52"/>
  <c r="F44" i="52"/>
  <c r="F38" i="52"/>
  <c r="F19" i="52"/>
  <c r="F31" i="52"/>
  <c r="F29" i="52"/>
  <c r="F21" i="52"/>
  <c r="F18" i="52"/>
  <c r="M18" i="52"/>
  <c r="M19" i="52"/>
  <c r="F14" i="52"/>
  <c r="W160" i="52" l="1"/>
  <c r="V160" i="52"/>
  <c r="U160" i="52"/>
  <c r="T160" i="52"/>
  <c r="R160" i="52"/>
  <c r="Q160" i="52"/>
  <c r="P160" i="52"/>
  <c r="M160" i="52"/>
  <c r="F519" i="52" l="1"/>
  <c r="F517" i="52"/>
  <c r="W829" i="52" l="1"/>
  <c r="V829" i="52"/>
  <c r="U829" i="52"/>
  <c r="R829" i="52"/>
  <c r="Q829" i="52"/>
  <c r="W828" i="52"/>
  <c r="V828" i="52"/>
  <c r="U828" i="52"/>
  <c r="T828" i="52"/>
  <c r="R828" i="52"/>
  <c r="Q828" i="52"/>
  <c r="P828" i="52"/>
  <c r="M828" i="52"/>
  <c r="W827" i="52"/>
  <c r="V827" i="52"/>
  <c r="U827" i="52"/>
  <c r="T827" i="52"/>
  <c r="P827" i="52"/>
  <c r="M827" i="52"/>
  <c r="F827" i="52"/>
  <c r="Q827" i="52" s="1"/>
  <c r="W826" i="52"/>
  <c r="V826" i="52"/>
  <c r="U826" i="52"/>
  <c r="T826" i="52"/>
  <c r="P826" i="52"/>
  <c r="M826" i="52"/>
  <c r="F826" i="52"/>
  <c r="Q826" i="52" s="1"/>
  <c r="W825" i="52"/>
  <c r="V825" i="52"/>
  <c r="U825" i="52"/>
  <c r="T825" i="52"/>
  <c r="R825" i="52"/>
  <c r="Q825" i="52"/>
  <c r="P825" i="52"/>
  <c r="M825" i="52"/>
  <c r="W824" i="52"/>
  <c r="V824" i="52"/>
  <c r="U824" i="52"/>
  <c r="T824" i="52"/>
  <c r="R824" i="52"/>
  <c r="Q824" i="52"/>
  <c r="P824" i="52"/>
  <c r="M824" i="52"/>
  <c r="W823" i="52"/>
  <c r="V823" i="52"/>
  <c r="U823" i="52"/>
  <c r="T823" i="52"/>
  <c r="R823" i="52"/>
  <c r="Q823" i="52"/>
  <c r="P823" i="52"/>
  <c r="M823" i="52"/>
  <c r="W822" i="52"/>
  <c r="V822" i="52"/>
  <c r="U822" i="52"/>
  <c r="T822" i="52"/>
  <c r="P822" i="52"/>
  <c r="M822" i="52"/>
  <c r="F822" i="52"/>
  <c r="Q822" i="52" s="1"/>
  <c r="W821" i="52"/>
  <c r="V821" i="52"/>
  <c r="U821" i="52"/>
  <c r="T821" i="52"/>
  <c r="R821" i="52"/>
  <c r="Q821" i="52"/>
  <c r="P821" i="52"/>
  <c r="M821" i="52"/>
  <c r="W820" i="52"/>
  <c r="V820" i="52"/>
  <c r="U820" i="52"/>
  <c r="T820" i="52"/>
  <c r="R820" i="52"/>
  <c r="P820" i="52"/>
  <c r="M820" i="52"/>
  <c r="G820" i="52"/>
  <c r="Q820" i="52" s="1"/>
  <c r="W819" i="52"/>
  <c r="V819" i="52"/>
  <c r="U819" i="52"/>
  <c r="T819" i="52"/>
  <c r="R819" i="52"/>
  <c r="Q819" i="52"/>
  <c r="P819" i="52"/>
  <c r="M819" i="52"/>
  <c r="T818" i="52"/>
  <c r="R818" i="52"/>
  <c r="Q818" i="52"/>
  <c r="T817" i="52"/>
  <c r="R817" i="52"/>
  <c r="Q817" i="52"/>
  <c r="T816" i="52"/>
  <c r="R816" i="52"/>
  <c r="Q816" i="52"/>
  <c r="T815" i="52"/>
  <c r="R815" i="52"/>
  <c r="Q815" i="52"/>
  <c r="T814" i="52"/>
  <c r="R814" i="52"/>
  <c r="Q814" i="52"/>
  <c r="T813" i="52"/>
  <c r="R813" i="52"/>
  <c r="Q813" i="52"/>
  <c r="T812" i="52"/>
  <c r="R812" i="52"/>
  <c r="Q812" i="52"/>
  <c r="T811" i="52"/>
  <c r="R811" i="52"/>
  <c r="Q811" i="52"/>
  <c r="T810" i="52"/>
  <c r="R810" i="52"/>
  <c r="Q810" i="52"/>
  <c r="T809" i="52"/>
  <c r="R809" i="52"/>
  <c r="Q809" i="52"/>
  <c r="T808" i="52"/>
  <c r="R808" i="52"/>
  <c r="Q808" i="52"/>
  <c r="T807" i="52"/>
  <c r="R807" i="52"/>
  <c r="Q807" i="52"/>
  <c r="R806" i="52"/>
  <c r="G806" i="52"/>
  <c r="F806" i="52"/>
  <c r="G805" i="52"/>
  <c r="F805" i="52"/>
  <c r="R805" i="52" s="1"/>
  <c r="R804" i="52"/>
  <c r="Q804" i="52"/>
  <c r="R803" i="52"/>
  <c r="Q803" i="52"/>
  <c r="R802" i="52"/>
  <c r="Q802" i="52"/>
  <c r="R801" i="52"/>
  <c r="Q801" i="52"/>
  <c r="R800" i="52"/>
  <c r="Q800" i="52"/>
  <c r="R799" i="52"/>
  <c r="Q799" i="52"/>
  <c r="R798" i="52"/>
  <c r="Q798" i="52"/>
  <c r="G797" i="52"/>
  <c r="F797" i="52"/>
  <c r="R797" i="52" s="1"/>
  <c r="G796" i="52"/>
  <c r="F796" i="52"/>
  <c r="R796" i="52" s="1"/>
  <c r="R795" i="52"/>
  <c r="Q795" i="52"/>
  <c r="W794" i="52"/>
  <c r="V794" i="52"/>
  <c r="U794" i="52"/>
  <c r="T794" i="52"/>
  <c r="R794" i="52"/>
  <c r="Q794" i="52"/>
  <c r="P794" i="52"/>
  <c r="M794" i="52"/>
  <c r="W793" i="52"/>
  <c r="V793" i="52"/>
  <c r="U793" i="52"/>
  <c r="T793" i="52"/>
  <c r="P793" i="52"/>
  <c r="M793" i="52"/>
  <c r="F793" i="52"/>
  <c r="R793" i="52" s="1"/>
  <c r="W792" i="52"/>
  <c r="V792" i="52"/>
  <c r="U792" i="52"/>
  <c r="T792" i="52"/>
  <c r="P792" i="52"/>
  <c r="M792" i="52"/>
  <c r="F792" i="52"/>
  <c r="R792" i="52" s="1"/>
  <c r="W791" i="52"/>
  <c r="V791" i="52"/>
  <c r="U791" i="52"/>
  <c r="T791" i="52"/>
  <c r="P791" i="52"/>
  <c r="M791" i="52"/>
  <c r="F791" i="52"/>
  <c r="R791" i="52" s="1"/>
  <c r="W790" i="52"/>
  <c r="V790" i="52"/>
  <c r="U790" i="52"/>
  <c r="T790" i="52"/>
  <c r="R790" i="52"/>
  <c r="P790" i="52"/>
  <c r="M790" i="52"/>
  <c r="F790" i="52"/>
  <c r="Q790" i="52" s="1"/>
  <c r="W789" i="52"/>
  <c r="V789" i="52"/>
  <c r="U789" i="52"/>
  <c r="T789" i="52"/>
  <c r="P789" i="52"/>
  <c r="M789" i="52"/>
  <c r="F789" i="52"/>
  <c r="R789" i="52" s="1"/>
  <c r="W788" i="52"/>
  <c r="V788" i="52"/>
  <c r="U788" i="52"/>
  <c r="T788" i="52"/>
  <c r="P788" i="52"/>
  <c r="M788" i="52"/>
  <c r="F788" i="52"/>
  <c r="Q788" i="52" s="1"/>
  <c r="W787" i="52"/>
  <c r="V787" i="52"/>
  <c r="U787" i="52"/>
  <c r="T787" i="52"/>
  <c r="P787" i="52"/>
  <c r="M787" i="52"/>
  <c r="F787" i="52"/>
  <c r="R787" i="52" s="1"/>
  <c r="W786" i="52"/>
  <c r="V786" i="52"/>
  <c r="U786" i="52"/>
  <c r="T786" i="52"/>
  <c r="R786" i="52"/>
  <c r="Q786" i="52"/>
  <c r="P786" i="52"/>
  <c r="M786" i="52"/>
  <c r="W785" i="52"/>
  <c r="V785" i="52"/>
  <c r="U785" i="52"/>
  <c r="T785" i="52"/>
  <c r="R785" i="52"/>
  <c r="Q785" i="52"/>
  <c r="P785" i="52"/>
  <c r="M785" i="52"/>
  <c r="W784" i="52"/>
  <c r="V784" i="52"/>
  <c r="U784" i="52"/>
  <c r="T784" i="52"/>
  <c r="R784" i="52"/>
  <c r="Q784" i="52"/>
  <c r="P784" i="52"/>
  <c r="M784" i="52"/>
  <c r="W783" i="52"/>
  <c r="V783" i="52"/>
  <c r="U783" i="52"/>
  <c r="T783" i="52"/>
  <c r="R783" i="52"/>
  <c r="Q783" i="52"/>
  <c r="P783" i="52"/>
  <c r="M783" i="52"/>
  <c r="W782" i="52"/>
  <c r="V782" i="52"/>
  <c r="U782" i="52"/>
  <c r="T782" i="52"/>
  <c r="P782" i="52"/>
  <c r="M782" i="52"/>
  <c r="G782" i="52"/>
  <c r="F782" i="52"/>
  <c r="R782" i="52" s="1"/>
  <c r="W781" i="52"/>
  <c r="V781" i="52"/>
  <c r="U781" i="52"/>
  <c r="T781" i="52"/>
  <c r="R781" i="52"/>
  <c r="Q781" i="52"/>
  <c r="P781" i="52"/>
  <c r="M781" i="52"/>
  <c r="W780" i="52"/>
  <c r="V780" i="52"/>
  <c r="U780" i="52"/>
  <c r="T780" i="52"/>
  <c r="R780" i="52"/>
  <c r="Q780" i="52"/>
  <c r="P780" i="52"/>
  <c r="M780" i="52"/>
  <c r="W779" i="52"/>
  <c r="V779" i="52"/>
  <c r="U779" i="52"/>
  <c r="T779" i="52"/>
  <c r="R779" i="52"/>
  <c r="Q779" i="52"/>
  <c r="P779" i="52"/>
  <c r="M779" i="52"/>
  <c r="W778" i="52"/>
  <c r="V778" i="52"/>
  <c r="U778" i="52"/>
  <c r="T778" i="52"/>
  <c r="R778" i="52"/>
  <c r="Q778" i="52"/>
  <c r="P778" i="52"/>
  <c r="M778" i="52"/>
  <c r="W777" i="52"/>
  <c r="V777" i="52"/>
  <c r="U777" i="52"/>
  <c r="T777" i="52"/>
  <c r="P777" i="52"/>
  <c r="F777" i="52"/>
  <c r="R777" i="52" s="1"/>
  <c r="W776" i="52"/>
  <c r="V776" i="52"/>
  <c r="U776" i="52"/>
  <c r="T776" i="52"/>
  <c r="R776" i="52"/>
  <c r="Q776" i="52"/>
  <c r="P776" i="52"/>
  <c r="W775" i="52"/>
  <c r="V775" i="52"/>
  <c r="U775" i="52"/>
  <c r="T775" i="52"/>
  <c r="P775" i="52"/>
  <c r="M775" i="52"/>
  <c r="F775" i="52"/>
  <c r="Q775" i="52" s="1"/>
  <c r="W774" i="52"/>
  <c r="V774" i="52"/>
  <c r="U774" i="52"/>
  <c r="T774" i="52"/>
  <c r="R774" i="52"/>
  <c r="Q774" i="52"/>
  <c r="P774" i="52"/>
  <c r="M774" i="52"/>
  <c r="W773" i="52"/>
  <c r="V773" i="52"/>
  <c r="U773" i="52"/>
  <c r="T773" i="52"/>
  <c r="R773" i="52"/>
  <c r="Q773" i="52"/>
  <c r="P773" i="52"/>
  <c r="M773" i="52"/>
  <c r="W772" i="52"/>
  <c r="V772" i="52"/>
  <c r="U772" i="52"/>
  <c r="T772" i="52"/>
  <c r="R772" i="52"/>
  <c r="Q772" i="52"/>
  <c r="P772" i="52"/>
  <c r="M772" i="52"/>
  <c r="W771" i="52"/>
  <c r="V771" i="52"/>
  <c r="U771" i="52"/>
  <c r="T771" i="52"/>
  <c r="R771" i="52"/>
  <c r="Q771" i="52"/>
  <c r="P771" i="52"/>
  <c r="M771" i="52"/>
  <c r="W770" i="52"/>
  <c r="V770" i="52"/>
  <c r="U770" i="52"/>
  <c r="T770" i="52"/>
  <c r="R770" i="52"/>
  <c r="Q770" i="52"/>
  <c r="P770" i="52"/>
  <c r="M770" i="52"/>
  <c r="W769" i="52"/>
  <c r="V769" i="52"/>
  <c r="U769" i="52"/>
  <c r="T769" i="52"/>
  <c r="R769" i="52"/>
  <c r="Q769" i="52"/>
  <c r="P769" i="52"/>
  <c r="M769" i="52"/>
  <c r="W768" i="52"/>
  <c r="V768" i="52"/>
  <c r="U768" i="52"/>
  <c r="T768" i="52"/>
  <c r="R768" i="52"/>
  <c r="Q768" i="52"/>
  <c r="P768" i="52"/>
  <c r="M768" i="52"/>
  <c r="W767" i="52"/>
  <c r="V767" i="52"/>
  <c r="U767" i="52"/>
  <c r="T767" i="52"/>
  <c r="R767" i="52"/>
  <c r="Q767" i="52"/>
  <c r="P767" i="52"/>
  <c r="M767" i="52"/>
  <c r="W766" i="52"/>
  <c r="V766" i="52"/>
  <c r="U766" i="52"/>
  <c r="T766" i="52"/>
  <c r="R766" i="52"/>
  <c r="Q766" i="52"/>
  <c r="P766" i="52"/>
  <c r="M766" i="52"/>
  <c r="W765" i="52"/>
  <c r="V765" i="52"/>
  <c r="U765" i="52"/>
  <c r="T765" i="52"/>
  <c r="R765" i="52"/>
  <c r="Q765" i="52"/>
  <c r="P765" i="52"/>
  <c r="M765" i="52"/>
  <c r="W764" i="52"/>
  <c r="V764" i="52"/>
  <c r="U764" i="52"/>
  <c r="T764" i="52"/>
  <c r="R764" i="52"/>
  <c r="Q764" i="52"/>
  <c r="P764" i="52"/>
  <c r="M764" i="52"/>
  <c r="W763" i="52"/>
  <c r="V763" i="52"/>
  <c r="U763" i="52"/>
  <c r="T763" i="52"/>
  <c r="R763" i="52"/>
  <c r="Q763" i="52"/>
  <c r="P763" i="52"/>
  <c r="M763" i="52"/>
  <c r="W762" i="52"/>
  <c r="V762" i="52"/>
  <c r="U762" i="52"/>
  <c r="T762" i="52"/>
  <c r="R762" i="52"/>
  <c r="Q762" i="52"/>
  <c r="P762" i="52"/>
  <c r="M762" i="52"/>
  <c r="W761" i="52"/>
  <c r="V761" i="52"/>
  <c r="U761" i="52"/>
  <c r="T761" i="52"/>
  <c r="R761" i="52"/>
  <c r="Q761" i="52"/>
  <c r="P761" i="52"/>
  <c r="M761" i="52"/>
  <c r="W760" i="52"/>
  <c r="V760" i="52"/>
  <c r="U760" i="52"/>
  <c r="T760" i="52"/>
  <c r="R760" i="52"/>
  <c r="Q760" i="52"/>
  <c r="P760" i="52"/>
  <c r="M760" i="52"/>
  <c r="W759" i="52"/>
  <c r="V759" i="52"/>
  <c r="U759" i="52"/>
  <c r="T759" i="52"/>
  <c r="R759" i="52"/>
  <c r="Q759" i="52"/>
  <c r="P759" i="52"/>
  <c r="M759" i="52"/>
  <c r="W758" i="52"/>
  <c r="V758" i="52"/>
  <c r="U758" i="52"/>
  <c r="T758" i="52"/>
  <c r="R758" i="52"/>
  <c r="Q758" i="52"/>
  <c r="P758" i="52"/>
  <c r="M758" i="52"/>
  <c r="W757" i="52"/>
  <c r="V757" i="52"/>
  <c r="U757" i="52"/>
  <c r="T757" i="52"/>
  <c r="R757" i="52"/>
  <c r="Q757" i="52"/>
  <c r="P757" i="52"/>
  <c r="M757" i="52"/>
  <c r="W756" i="52"/>
  <c r="V756" i="52"/>
  <c r="U756" i="52"/>
  <c r="T756" i="52"/>
  <c r="R756" i="52"/>
  <c r="Q756" i="52"/>
  <c r="P756" i="52"/>
  <c r="M756" i="52"/>
  <c r="W755" i="52"/>
  <c r="V755" i="52"/>
  <c r="U755" i="52"/>
  <c r="T755" i="52"/>
  <c r="R755" i="52"/>
  <c r="Q755" i="52"/>
  <c r="P755" i="52"/>
  <c r="M755" i="52"/>
  <c r="W754" i="52"/>
  <c r="V754" i="52"/>
  <c r="U754" i="52"/>
  <c r="T754" i="52"/>
  <c r="R754" i="52"/>
  <c r="Q754" i="52"/>
  <c r="P754" i="52"/>
  <c r="M754" i="52"/>
  <c r="W753" i="52"/>
  <c r="V753" i="52"/>
  <c r="U753" i="52"/>
  <c r="T753" i="52"/>
  <c r="R753" i="52"/>
  <c r="Q753" i="52"/>
  <c r="P753" i="52"/>
  <c r="M753" i="52"/>
  <c r="W752" i="52"/>
  <c r="V752" i="52"/>
  <c r="U752" i="52"/>
  <c r="T752" i="52"/>
  <c r="R752" i="52"/>
  <c r="Q752" i="52"/>
  <c r="P752" i="52"/>
  <c r="M752" i="52"/>
  <c r="W751" i="52"/>
  <c r="V751" i="52"/>
  <c r="U751" i="52"/>
  <c r="T751" i="52"/>
  <c r="R751" i="52"/>
  <c r="Q751" i="52"/>
  <c r="P751" i="52"/>
  <c r="M751" i="52"/>
  <c r="W750" i="52"/>
  <c r="V750" i="52"/>
  <c r="U750" i="52"/>
  <c r="T750" i="52"/>
  <c r="R750" i="52"/>
  <c r="Q750" i="52"/>
  <c r="P750" i="52"/>
  <c r="M750" i="52"/>
  <c r="W749" i="52"/>
  <c r="V749" i="52"/>
  <c r="U749" i="52"/>
  <c r="T749" i="52"/>
  <c r="R749" i="52"/>
  <c r="Q749" i="52"/>
  <c r="P749" i="52"/>
  <c r="M749" i="52"/>
  <c r="W748" i="52"/>
  <c r="V748" i="52"/>
  <c r="U748" i="52"/>
  <c r="T748" i="52"/>
  <c r="R748" i="52"/>
  <c r="Q748" i="52"/>
  <c r="P748" i="52"/>
  <c r="M748" i="52"/>
  <c r="W747" i="52"/>
  <c r="V747" i="52"/>
  <c r="U747" i="52"/>
  <c r="T747" i="52"/>
  <c r="P747" i="52"/>
  <c r="M747" i="52"/>
  <c r="F747" i="52"/>
  <c r="R747" i="52" s="1"/>
  <c r="W746" i="52"/>
  <c r="V746" i="52"/>
  <c r="U746" i="52"/>
  <c r="T746" i="52"/>
  <c r="R746" i="52"/>
  <c r="Q746" i="52"/>
  <c r="P746" i="52"/>
  <c r="M746" i="52"/>
  <c r="W745" i="52"/>
  <c r="V745" i="52"/>
  <c r="U745" i="52"/>
  <c r="T745" i="52"/>
  <c r="R745" i="52"/>
  <c r="Q745" i="52"/>
  <c r="P745" i="52"/>
  <c r="M745" i="52"/>
  <c r="W744" i="52"/>
  <c r="V744" i="52"/>
  <c r="U744" i="52"/>
  <c r="T744" i="52"/>
  <c r="R744" i="52"/>
  <c r="Q744" i="52"/>
  <c r="P744" i="52"/>
  <c r="M744" i="52"/>
  <c r="W743" i="52"/>
  <c r="V743" i="52"/>
  <c r="U743" i="52"/>
  <c r="T743" i="52"/>
  <c r="R743" i="52"/>
  <c r="Q743" i="52"/>
  <c r="P743" i="52"/>
  <c r="M743" i="52"/>
  <c r="W742" i="52"/>
  <c r="V742" i="52"/>
  <c r="U742" i="52"/>
  <c r="T742" i="52"/>
  <c r="R742" i="52"/>
  <c r="Q742" i="52"/>
  <c r="P742" i="52"/>
  <c r="M742" i="52"/>
  <c r="W741" i="52"/>
  <c r="V741" i="52"/>
  <c r="U741" i="52"/>
  <c r="T741" i="52"/>
  <c r="R741" i="52"/>
  <c r="Q741" i="52"/>
  <c r="P741" i="52"/>
  <c r="M741" i="52"/>
  <c r="W740" i="52"/>
  <c r="V740" i="52"/>
  <c r="U740" i="52"/>
  <c r="T740" i="52"/>
  <c r="R740" i="52"/>
  <c r="Q740" i="52"/>
  <c r="P740" i="52"/>
  <c r="M740" i="52"/>
  <c r="W739" i="52"/>
  <c r="V739" i="52"/>
  <c r="U739" i="52"/>
  <c r="T739" i="52"/>
  <c r="R739" i="52"/>
  <c r="Q739" i="52"/>
  <c r="P739" i="52"/>
  <c r="M739" i="52"/>
  <c r="W738" i="52"/>
  <c r="V738" i="52"/>
  <c r="U738" i="52"/>
  <c r="T738" i="52"/>
  <c r="R738" i="52"/>
  <c r="Q738" i="52"/>
  <c r="P738" i="52"/>
  <c r="M738" i="52"/>
  <c r="W737" i="52"/>
  <c r="V737" i="52"/>
  <c r="U737" i="52"/>
  <c r="T737" i="52"/>
  <c r="R737" i="52"/>
  <c r="Q737" i="52"/>
  <c r="P737" i="52"/>
  <c r="M737" i="52"/>
  <c r="W736" i="52"/>
  <c r="V736" i="52"/>
  <c r="U736" i="52"/>
  <c r="T736" i="52"/>
  <c r="R736" i="52"/>
  <c r="Q736" i="52"/>
  <c r="P736" i="52"/>
  <c r="M736" i="52"/>
  <c r="W735" i="52"/>
  <c r="V735" i="52"/>
  <c r="U735" i="52"/>
  <c r="T735" i="52"/>
  <c r="R735" i="52"/>
  <c r="Q735" i="52"/>
  <c r="P735" i="52"/>
  <c r="M735" i="52"/>
  <c r="W734" i="52"/>
  <c r="V734" i="52"/>
  <c r="U734" i="52"/>
  <c r="T734" i="52"/>
  <c r="R734" i="52"/>
  <c r="Q734" i="52"/>
  <c r="P734" i="52"/>
  <c r="M734" i="52"/>
  <c r="W733" i="52"/>
  <c r="V733" i="52"/>
  <c r="U733" i="52"/>
  <c r="T733" i="52"/>
  <c r="R733" i="52"/>
  <c r="Q733" i="52"/>
  <c r="P733" i="52"/>
  <c r="M733" i="52"/>
  <c r="W732" i="52"/>
  <c r="V732" i="52"/>
  <c r="U732" i="52"/>
  <c r="T732" i="52"/>
  <c r="R732" i="52"/>
  <c r="Q732" i="52"/>
  <c r="P732" i="52"/>
  <c r="M732" i="52"/>
  <c r="W731" i="52"/>
  <c r="V731" i="52"/>
  <c r="U731" i="52"/>
  <c r="T731" i="52"/>
  <c r="R731" i="52"/>
  <c r="Q731" i="52"/>
  <c r="P731" i="52"/>
  <c r="M731" i="52"/>
  <c r="W730" i="52"/>
  <c r="V730" i="52"/>
  <c r="U730" i="52"/>
  <c r="T730" i="52"/>
  <c r="R730" i="52"/>
  <c r="Q730" i="52"/>
  <c r="P730" i="52"/>
  <c r="M730" i="52"/>
  <c r="W729" i="52"/>
  <c r="V729" i="52"/>
  <c r="U729" i="52"/>
  <c r="T729" i="52"/>
  <c r="R729" i="52"/>
  <c r="Q729" i="52"/>
  <c r="P729" i="52"/>
  <c r="M729" i="52"/>
  <c r="W728" i="52"/>
  <c r="V728" i="52"/>
  <c r="U728" i="52"/>
  <c r="T728" i="52"/>
  <c r="R728" i="52"/>
  <c r="Q728" i="52"/>
  <c r="P728" i="52"/>
  <c r="M728" i="52"/>
  <c r="W727" i="52"/>
  <c r="V727" i="52"/>
  <c r="U727" i="52"/>
  <c r="T727" i="52"/>
  <c r="R727" i="52"/>
  <c r="Q727" i="52"/>
  <c r="P727" i="52"/>
  <c r="M727" i="52"/>
  <c r="W726" i="52"/>
  <c r="V726" i="52"/>
  <c r="U726" i="52"/>
  <c r="T726" i="52"/>
  <c r="R726" i="52"/>
  <c r="Q726" i="52"/>
  <c r="P726" i="52"/>
  <c r="M726" i="52"/>
  <c r="W725" i="52"/>
  <c r="V725" i="52"/>
  <c r="U725" i="52"/>
  <c r="T725" i="52"/>
  <c r="R725" i="52"/>
  <c r="Q725" i="52"/>
  <c r="P725" i="52"/>
  <c r="M725" i="52"/>
  <c r="W724" i="52"/>
  <c r="V724" i="52"/>
  <c r="U724" i="52"/>
  <c r="T724" i="52"/>
  <c r="R724" i="52"/>
  <c r="Q724" i="52"/>
  <c r="P724" i="52"/>
  <c r="M724" i="52"/>
  <c r="W723" i="52"/>
  <c r="V723" i="52"/>
  <c r="U723" i="52"/>
  <c r="T723" i="52"/>
  <c r="R723" i="52"/>
  <c r="Q723" i="52"/>
  <c r="P723" i="52"/>
  <c r="M723" i="52"/>
  <c r="W722" i="52"/>
  <c r="V722" i="52"/>
  <c r="U722" i="52"/>
  <c r="T722" i="52"/>
  <c r="R722" i="52"/>
  <c r="Q722" i="52"/>
  <c r="P722" i="52"/>
  <c r="M722" i="52"/>
  <c r="W721" i="52"/>
  <c r="V721" i="52"/>
  <c r="U721" i="52"/>
  <c r="T721" i="52"/>
  <c r="R721" i="52"/>
  <c r="Q721" i="52"/>
  <c r="P721" i="52"/>
  <c r="M721" i="52"/>
  <c r="W720" i="52"/>
  <c r="V720" i="52"/>
  <c r="U720" i="52"/>
  <c r="T720" i="52"/>
  <c r="R720" i="52"/>
  <c r="Q720" i="52"/>
  <c r="P720" i="52"/>
  <c r="M720" i="52"/>
  <c r="W719" i="52"/>
  <c r="V719" i="52"/>
  <c r="U719" i="52"/>
  <c r="T719" i="52"/>
  <c r="R719" i="52"/>
  <c r="Q719" i="52"/>
  <c r="P719" i="52"/>
  <c r="M719" i="52"/>
  <c r="W718" i="52"/>
  <c r="V718" i="52"/>
  <c r="U718" i="52"/>
  <c r="T718" i="52"/>
  <c r="R718" i="52"/>
  <c r="Q718" i="52"/>
  <c r="P718" i="52"/>
  <c r="M718" i="52"/>
  <c r="W717" i="52"/>
  <c r="V717" i="52"/>
  <c r="U717" i="52"/>
  <c r="T717" i="52"/>
  <c r="R717" i="52"/>
  <c r="Q717" i="52"/>
  <c r="P717" i="52"/>
  <c r="M717" i="52"/>
  <c r="W716" i="52"/>
  <c r="V716" i="52"/>
  <c r="U716" i="52"/>
  <c r="T716" i="52"/>
  <c r="R716" i="52"/>
  <c r="Q716" i="52"/>
  <c r="P716" i="52"/>
  <c r="M716" i="52"/>
  <c r="W715" i="52"/>
  <c r="V715" i="52"/>
  <c r="U715" i="52"/>
  <c r="T715" i="52"/>
  <c r="R715" i="52"/>
  <c r="Q715" i="52"/>
  <c r="P715" i="52"/>
  <c r="M715" i="52"/>
  <c r="W714" i="52"/>
  <c r="V714" i="52"/>
  <c r="U714" i="52"/>
  <c r="T714" i="52"/>
  <c r="R714" i="52"/>
  <c r="Q714" i="52"/>
  <c r="P714" i="52"/>
  <c r="M714" i="52"/>
  <c r="W713" i="52"/>
  <c r="V713" i="52"/>
  <c r="U713" i="52"/>
  <c r="T713" i="52"/>
  <c r="R713" i="52"/>
  <c r="Q713" i="52"/>
  <c r="P713" i="52"/>
  <c r="M713" i="52"/>
  <c r="W712" i="52"/>
  <c r="V712" i="52"/>
  <c r="U712" i="52"/>
  <c r="T712" i="52"/>
  <c r="R712" i="52"/>
  <c r="Q712" i="52"/>
  <c r="P712" i="52"/>
  <c r="M712" i="52"/>
  <c r="W711" i="52"/>
  <c r="V711" i="52"/>
  <c r="U711" i="52"/>
  <c r="T711" i="52"/>
  <c r="R711" i="52"/>
  <c r="Q711" i="52"/>
  <c r="P711" i="52"/>
  <c r="M711" i="52"/>
  <c r="W710" i="52"/>
  <c r="V710" i="52"/>
  <c r="U710" i="52"/>
  <c r="T710" i="52"/>
  <c r="R710" i="52"/>
  <c r="Q710" i="52"/>
  <c r="P710" i="52"/>
  <c r="M710" i="52"/>
  <c r="W709" i="52"/>
  <c r="V709" i="52"/>
  <c r="U709" i="52"/>
  <c r="T709" i="52"/>
  <c r="R709" i="52"/>
  <c r="Q709" i="52"/>
  <c r="P709" i="52"/>
  <c r="M709" i="52"/>
  <c r="W708" i="52"/>
  <c r="V708" i="52"/>
  <c r="U708" i="52"/>
  <c r="T708" i="52"/>
  <c r="R708" i="52"/>
  <c r="Q708" i="52"/>
  <c r="P708" i="52"/>
  <c r="M708" i="52"/>
  <c r="W707" i="52"/>
  <c r="V707" i="52"/>
  <c r="U707" i="52"/>
  <c r="T707" i="52"/>
  <c r="R707" i="52"/>
  <c r="Q707" i="52"/>
  <c r="P707" i="52"/>
  <c r="M707" i="52"/>
  <c r="W706" i="52"/>
  <c r="V706" i="52"/>
  <c r="U706" i="52"/>
  <c r="T706" i="52"/>
  <c r="R706" i="52"/>
  <c r="Q706" i="52"/>
  <c r="P706" i="52"/>
  <c r="M706" i="52"/>
  <c r="W705" i="52"/>
  <c r="V705" i="52"/>
  <c r="U705" i="52"/>
  <c r="T705" i="52"/>
  <c r="R705" i="52"/>
  <c r="Q705" i="52"/>
  <c r="P705" i="52"/>
  <c r="M705" i="52"/>
  <c r="W704" i="52"/>
  <c r="V704" i="52"/>
  <c r="U704" i="52"/>
  <c r="T704" i="52"/>
  <c r="R704" i="52"/>
  <c r="Q704" i="52"/>
  <c r="P704" i="52"/>
  <c r="M704" i="52"/>
  <c r="W703" i="52"/>
  <c r="V703" i="52"/>
  <c r="U703" i="52"/>
  <c r="T703" i="52"/>
  <c r="R703" i="52"/>
  <c r="Q703" i="52"/>
  <c r="P703" i="52"/>
  <c r="M703" i="52"/>
  <c r="W702" i="52"/>
  <c r="V702" i="52"/>
  <c r="U702" i="52"/>
  <c r="T702" i="52"/>
  <c r="R702" i="52"/>
  <c r="Q702" i="52"/>
  <c r="P702" i="52"/>
  <c r="M702" i="52"/>
  <c r="W701" i="52"/>
  <c r="V701" i="52"/>
  <c r="U701" i="52"/>
  <c r="T701" i="52"/>
  <c r="R701" i="52"/>
  <c r="Q701" i="52"/>
  <c r="P701" i="52"/>
  <c r="M701" i="52"/>
  <c r="W700" i="52"/>
  <c r="V700" i="52"/>
  <c r="U700" i="52"/>
  <c r="T700" i="52"/>
  <c r="R700" i="52"/>
  <c r="Q700" i="52"/>
  <c r="P700" i="52"/>
  <c r="M700" i="52"/>
  <c r="W699" i="52"/>
  <c r="V699" i="52"/>
  <c r="U699" i="52"/>
  <c r="T699" i="52"/>
  <c r="R699" i="52"/>
  <c r="Q699" i="52"/>
  <c r="P699" i="52"/>
  <c r="M699" i="52"/>
  <c r="W698" i="52"/>
  <c r="V698" i="52"/>
  <c r="U698" i="52"/>
  <c r="T698" i="52"/>
  <c r="R698" i="52"/>
  <c r="Q698" i="52"/>
  <c r="P698" i="52"/>
  <c r="M698" i="52"/>
  <c r="W697" i="52"/>
  <c r="V697" i="52"/>
  <c r="U697" i="52"/>
  <c r="T697" i="52"/>
  <c r="R697" i="52"/>
  <c r="Q697" i="52"/>
  <c r="P697" i="52"/>
  <c r="M697" i="52"/>
  <c r="W696" i="52"/>
  <c r="V696" i="52"/>
  <c r="U696" i="52"/>
  <c r="T696" i="52"/>
  <c r="R696" i="52"/>
  <c r="Q696" i="52"/>
  <c r="P696" i="52"/>
  <c r="M696" i="52"/>
  <c r="W695" i="52"/>
  <c r="V695" i="52"/>
  <c r="U695" i="52"/>
  <c r="T695" i="52"/>
  <c r="R695" i="52"/>
  <c r="Q695" i="52"/>
  <c r="P695" i="52"/>
  <c r="M695" i="52"/>
  <c r="W694" i="52"/>
  <c r="V694" i="52"/>
  <c r="U694" i="52"/>
  <c r="T694" i="52"/>
  <c r="R694" i="52"/>
  <c r="Q694" i="52"/>
  <c r="P694" i="52"/>
  <c r="M694" i="52"/>
  <c r="W693" i="52"/>
  <c r="V693" i="52"/>
  <c r="U693" i="52"/>
  <c r="T693" i="52"/>
  <c r="R693" i="52"/>
  <c r="Q693" i="52"/>
  <c r="P693" i="52"/>
  <c r="M693" i="52"/>
  <c r="W692" i="52"/>
  <c r="V692" i="52"/>
  <c r="U692" i="52"/>
  <c r="T692" i="52"/>
  <c r="R692" i="52"/>
  <c r="Q692" i="52"/>
  <c r="P692" i="52"/>
  <c r="M692" i="52"/>
  <c r="W691" i="52"/>
  <c r="V691" i="52"/>
  <c r="U691" i="52"/>
  <c r="T691" i="52"/>
  <c r="R691" i="52"/>
  <c r="Q691" i="52"/>
  <c r="P691" i="52"/>
  <c r="M691" i="52"/>
  <c r="W690" i="52"/>
  <c r="V690" i="52"/>
  <c r="U690" i="52"/>
  <c r="T690" i="52"/>
  <c r="R690" i="52"/>
  <c r="Q690" i="52"/>
  <c r="P690" i="52"/>
  <c r="M690" i="52"/>
  <c r="W689" i="52"/>
  <c r="V689" i="52"/>
  <c r="U689" i="52"/>
  <c r="T689" i="52"/>
  <c r="R689" i="52"/>
  <c r="Q689" i="52"/>
  <c r="P689" i="52"/>
  <c r="M689" i="52"/>
  <c r="W688" i="52"/>
  <c r="V688" i="52"/>
  <c r="U688" i="52"/>
  <c r="T688" i="52"/>
  <c r="R688" i="52"/>
  <c r="Q688" i="52"/>
  <c r="P688" i="52"/>
  <c r="M688" i="52"/>
  <c r="W687" i="52"/>
  <c r="V687" i="52"/>
  <c r="U687" i="52"/>
  <c r="T687" i="52"/>
  <c r="R687" i="52"/>
  <c r="Q687" i="52"/>
  <c r="P687" i="52"/>
  <c r="M687" i="52"/>
  <c r="W686" i="52"/>
  <c r="V686" i="52"/>
  <c r="U686" i="52"/>
  <c r="T686" i="52"/>
  <c r="R686" i="52"/>
  <c r="Q686" i="52"/>
  <c r="P686" i="52"/>
  <c r="M686" i="52"/>
  <c r="W685" i="52"/>
  <c r="V685" i="52"/>
  <c r="U685" i="52"/>
  <c r="T685" i="52"/>
  <c r="R685" i="52"/>
  <c r="Q685" i="52"/>
  <c r="P685" i="52"/>
  <c r="M685" i="52"/>
  <c r="W684" i="52"/>
  <c r="V684" i="52"/>
  <c r="U684" i="52"/>
  <c r="T684" i="52"/>
  <c r="R684" i="52"/>
  <c r="Q684" i="52"/>
  <c r="P684" i="52"/>
  <c r="M684" i="52"/>
  <c r="W683" i="52"/>
  <c r="V683" i="52"/>
  <c r="U683" i="52"/>
  <c r="T683" i="52"/>
  <c r="R683" i="52"/>
  <c r="Q683" i="52"/>
  <c r="P683" i="52"/>
  <c r="M683" i="52"/>
  <c r="W682" i="52"/>
  <c r="V682" i="52"/>
  <c r="U682" i="52"/>
  <c r="T682" i="52"/>
  <c r="R682" i="52"/>
  <c r="Q682" i="52"/>
  <c r="P682" i="52"/>
  <c r="M682" i="52"/>
  <c r="W681" i="52"/>
  <c r="V681" i="52"/>
  <c r="U681" i="52"/>
  <c r="T681" i="52"/>
  <c r="R681" i="52"/>
  <c r="Q681" i="52"/>
  <c r="P681" i="52"/>
  <c r="M681" i="52"/>
  <c r="W680" i="52"/>
  <c r="V680" i="52"/>
  <c r="U680" i="52"/>
  <c r="T680" i="52"/>
  <c r="R680" i="52"/>
  <c r="Q680" i="52"/>
  <c r="P680" i="52"/>
  <c r="M680" i="52"/>
  <c r="W679" i="52"/>
  <c r="V679" i="52"/>
  <c r="U679" i="52"/>
  <c r="T679" i="52"/>
  <c r="R679" i="52"/>
  <c r="Q679" i="52"/>
  <c r="P679" i="52"/>
  <c r="M679" i="52"/>
  <c r="W678" i="52"/>
  <c r="V678" i="52"/>
  <c r="U678" i="52"/>
  <c r="T678" i="52"/>
  <c r="R678" i="52"/>
  <c r="Q678" i="52"/>
  <c r="P678" i="52"/>
  <c r="M678" i="52"/>
  <c r="W677" i="52"/>
  <c r="V677" i="52"/>
  <c r="U677" i="52"/>
  <c r="T677" i="52"/>
  <c r="R677" i="52"/>
  <c r="Q677" i="52"/>
  <c r="P677" i="52"/>
  <c r="M677" i="52"/>
  <c r="W676" i="52"/>
  <c r="V676" i="52"/>
  <c r="U676" i="52"/>
  <c r="T676" i="52"/>
  <c r="R676" i="52"/>
  <c r="Q676" i="52"/>
  <c r="P676" i="52"/>
  <c r="M676" i="52"/>
  <c r="W675" i="52"/>
  <c r="V675" i="52"/>
  <c r="U675" i="52"/>
  <c r="T675" i="52"/>
  <c r="R675" i="52"/>
  <c r="Q675" i="52"/>
  <c r="P675" i="52"/>
  <c r="M675" i="52"/>
  <c r="W674" i="52"/>
  <c r="V674" i="52"/>
  <c r="U674" i="52"/>
  <c r="T674" i="52"/>
  <c r="R674" i="52"/>
  <c r="Q674" i="52"/>
  <c r="P674" i="52"/>
  <c r="M674" i="52"/>
  <c r="W673" i="52"/>
  <c r="V673" i="52"/>
  <c r="U673" i="52"/>
  <c r="T673" i="52"/>
  <c r="R673" i="52"/>
  <c r="Q673" i="52"/>
  <c r="P673" i="52"/>
  <c r="M673" i="52"/>
  <c r="W672" i="52"/>
  <c r="V672" i="52"/>
  <c r="U672" i="52"/>
  <c r="T672" i="52"/>
  <c r="R672" i="52"/>
  <c r="Q672" i="52"/>
  <c r="P672" i="52"/>
  <c r="M672" i="52"/>
  <c r="W671" i="52"/>
  <c r="V671" i="52"/>
  <c r="U671" i="52"/>
  <c r="T671" i="52"/>
  <c r="R671" i="52"/>
  <c r="Q671" i="52"/>
  <c r="P671" i="52"/>
  <c r="M671" i="52"/>
  <c r="W670" i="52"/>
  <c r="V670" i="52"/>
  <c r="U670" i="52"/>
  <c r="T670" i="52"/>
  <c r="R670" i="52"/>
  <c r="Q670" i="52"/>
  <c r="P670" i="52"/>
  <c r="M670" i="52"/>
  <c r="W669" i="52"/>
  <c r="V669" i="52"/>
  <c r="U669" i="52"/>
  <c r="T669" i="52"/>
  <c r="R669" i="52"/>
  <c r="Q669" i="52"/>
  <c r="P669" i="52"/>
  <c r="M669" i="52"/>
  <c r="W668" i="52"/>
  <c r="V668" i="52"/>
  <c r="U668" i="52"/>
  <c r="T668" i="52"/>
  <c r="R668" i="52"/>
  <c r="Q668" i="52"/>
  <c r="P668" i="52"/>
  <c r="M668" i="52"/>
  <c r="W667" i="52"/>
  <c r="V667" i="52"/>
  <c r="U667" i="52"/>
  <c r="T667" i="52"/>
  <c r="R667" i="52"/>
  <c r="Q667" i="52"/>
  <c r="P667" i="52"/>
  <c r="M667" i="52"/>
  <c r="W666" i="52"/>
  <c r="V666" i="52"/>
  <c r="U666" i="52"/>
  <c r="T666" i="52"/>
  <c r="R666" i="52"/>
  <c r="Q666" i="52"/>
  <c r="P666" i="52"/>
  <c r="M666" i="52"/>
  <c r="W665" i="52"/>
  <c r="V665" i="52"/>
  <c r="U665" i="52"/>
  <c r="T665" i="52"/>
  <c r="R665" i="52"/>
  <c r="Q665" i="52"/>
  <c r="P665" i="52"/>
  <c r="M665" i="52"/>
  <c r="W664" i="52"/>
  <c r="V664" i="52"/>
  <c r="U664" i="52"/>
  <c r="T664" i="52"/>
  <c r="R664" i="52"/>
  <c r="Q664" i="52"/>
  <c r="P664" i="52"/>
  <c r="M664" i="52"/>
  <c r="W663" i="52"/>
  <c r="V663" i="52"/>
  <c r="U663" i="52"/>
  <c r="T663" i="52"/>
  <c r="R663" i="52"/>
  <c r="Q663" i="52"/>
  <c r="P663" i="52"/>
  <c r="M663" i="52"/>
  <c r="W662" i="52"/>
  <c r="V662" i="52"/>
  <c r="U662" i="52"/>
  <c r="T662" i="52"/>
  <c r="R662" i="52"/>
  <c r="Q662" i="52"/>
  <c r="P662" i="52"/>
  <c r="M662" i="52"/>
  <c r="W661" i="52"/>
  <c r="V661" i="52"/>
  <c r="U661" i="52"/>
  <c r="T661" i="52"/>
  <c r="R661" i="52"/>
  <c r="Q661" i="52"/>
  <c r="P661" i="52"/>
  <c r="M661" i="52"/>
  <c r="W660" i="52"/>
  <c r="V660" i="52"/>
  <c r="U660" i="52"/>
  <c r="T660" i="52"/>
  <c r="R660" i="52"/>
  <c r="Q660" i="52"/>
  <c r="P660" i="52"/>
  <c r="M660" i="52"/>
  <c r="W659" i="52"/>
  <c r="V659" i="52"/>
  <c r="U659" i="52"/>
  <c r="T659" i="52"/>
  <c r="R659" i="52"/>
  <c r="Q659" i="52"/>
  <c r="P659" i="52"/>
  <c r="M659" i="52"/>
  <c r="W658" i="52"/>
  <c r="V658" i="52"/>
  <c r="U658" i="52"/>
  <c r="T658" i="52"/>
  <c r="R658" i="52"/>
  <c r="Q658" i="52"/>
  <c r="P658" i="52"/>
  <c r="M658" i="52"/>
  <c r="W657" i="52"/>
  <c r="V657" i="52"/>
  <c r="U657" i="52"/>
  <c r="T657" i="52"/>
  <c r="R657" i="52"/>
  <c r="Q657" i="52"/>
  <c r="P657" i="52"/>
  <c r="M657" i="52"/>
  <c r="W656" i="52"/>
  <c r="V656" i="52"/>
  <c r="U656" i="52"/>
  <c r="T656" i="52"/>
  <c r="R656" i="52"/>
  <c r="Q656" i="52"/>
  <c r="P656" i="52"/>
  <c r="M656" i="52"/>
  <c r="W655" i="52"/>
  <c r="V655" i="52"/>
  <c r="U655" i="52"/>
  <c r="T655" i="52"/>
  <c r="R655" i="52"/>
  <c r="Q655" i="52"/>
  <c r="P655" i="52"/>
  <c r="M655" i="52"/>
  <c r="W654" i="52"/>
  <c r="V654" i="52"/>
  <c r="U654" i="52"/>
  <c r="T654" i="52"/>
  <c r="R654" i="52"/>
  <c r="Q654" i="52"/>
  <c r="M654" i="52"/>
  <c r="U653" i="52"/>
  <c r="T653" i="52"/>
  <c r="R653" i="52"/>
  <c r="Q653" i="52"/>
  <c r="M653" i="52"/>
  <c r="U652" i="52"/>
  <c r="T652" i="52"/>
  <c r="R652" i="52"/>
  <c r="M652" i="52"/>
  <c r="F652" i="52"/>
  <c r="Q652" i="52" s="1"/>
  <c r="U651" i="52"/>
  <c r="T651" i="52"/>
  <c r="M651" i="52"/>
  <c r="F651" i="52"/>
  <c r="R651" i="52" s="1"/>
  <c r="U650" i="52"/>
  <c r="T650" i="52"/>
  <c r="R650" i="52"/>
  <c r="Q650" i="52"/>
  <c r="M650" i="52"/>
  <c r="U649" i="52"/>
  <c r="T649" i="52"/>
  <c r="M649" i="52"/>
  <c r="F649" i="52"/>
  <c r="R649" i="52" s="1"/>
  <c r="U648" i="52"/>
  <c r="T648" i="52"/>
  <c r="R648" i="52"/>
  <c r="Q648" i="52"/>
  <c r="M648" i="52"/>
  <c r="U647" i="52"/>
  <c r="T647" i="52"/>
  <c r="R647" i="52"/>
  <c r="Q647" i="52"/>
  <c r="M647" i="52"/>
  <c r="U646" i="52"/>
  <c r="T646" i="52"/>
  <c r="R646" i="52"/>
  <c r="Q646" i="52"/>
  <c r="M646" i="52"/>
  <c r="U645" i="52"/>
  <c r="T645" i="52"/>
  <c r="R645" i="52"/>
  <c r="Q645" i="52"/>
  <c r="M645" i="52"/>
  <c r="U644" i="52"/>
  <c r="T644" i="52"/>
  <c r="M644" i="52"/>
  <c r="F644" i="52"/>
  <c r="R644" i="52" s="1"/>
  <c r="U643" i="52"/>
  <c r="T643" i="52"/>
  <c r="M643" i="52"/>
  <c r="F643" i="52"/>
  <c r="R643" i="52" s="1"/>
  <c r="U642" i="52"/>
  <c r="T642" i="52"/>
  <c r="M642" i="52"/>
  <c r="F642" i="52"/>
  <c r="R642" i="52" s="1"/>
  <c r="W641" i="52"/>
  <c r="V641" i="52"/>
  <c r="U641" i="52"/>
  <c r="T641" i="52"/>
  <c r="R641" i="52"/>
  <c r="Q641" i="52"/>
  <c r="P641" i="52"/>
  <c r="M641" i="52"/>
  <c r="W640" i="52"/>
  <c r="V640" i="52"/>
  <c r="U640" i="52"/>
  <c r="T640" i="52"/>
  <c r="R640" i="52"/>
  <c r="Q640" i="52"/>
  <c r="P640" i="52"/>
  <c r="M640" i="52"/>
  <c r="U639" i="52"/>
  <c r="R639" i="52"/>
  <c r="Q639" i="52"/>
  <c r="M639" i="52"/>
  <c r="R638" i="52"/>
  <c r="Q638" i="52"/>
  <c r="R637" i="52"/>
  <c r="Q637" i="52"/>
  <c r="F636" i="52"/>
  <c r="R636" i="52" s="1"/>
  <c r="F635" i="52"/>
  <c r="R635" i="52" s="1"/>
  <c r="R634" i="52"/>
  <c r="Q634" i="52"/>
  <c r="R633" i="52"/>
  <c r="Q633" i="52"/>
  <c r="R632" i="52"/>
  <c r="Q632" i="52"/>
  <c r="R631" i="52"/>
  <c r="Q631" i="52"/>
  <c r="F630" i="52"/>
  <c r="R630" i="52" s="1"/>
  <c r="W629" i="52"/>
  <c r="V629" i="52"/>
  <c r="U629" i="52"/>
  <c r="T629" i="52"/>
  <c r="P629" i="52"/>
  <c r="M629" i="52"/>
  <c r="F629" i="52"/>
  <c r="R629" i="52" s="1"/>
  <c r="W628" i="52"/>
  <c r="V628" i="52"/>
  <c r="U628" i="52"/>
  <c r="T628" i="52"/>
  <c r="P628" i="52"/>
  <c r="M628" i="52"/>
  <c r="F628" i="52"/>
  <c r="R628" i="52" s="1"/>
  <c r="W627" i="52"/>
  <c r="V627" i="52"/>
  <c r="U627" i="52"/>
  <c r="T627" i="52"/>
  <c r="P627" i="52"/>
  <c r="M627" i="52"/>
  <c r="F627" i="52"/>
  <c r="R627" i="52" s="1"/>
  <c r="W626" i="52"/>
  <c r="V626" i="52"/>
  <c r="U626" i="52"/>
  <c r="T626" i="52"/>
  <c r="P626" i="52"/>
  <c r="M626" i="52"/>
  <c r="F626" i="52"/>
  <c r="R626" i="52" s="1"/>
  <c r="W625" i="52"/>
  <c r="V625" i="52"/>
  <c r="U625" i="52"/>
  <c r="T625" i="52"/>
  <c r="P625" i="52"/>
  <c r="M625" i="52"/>
  <c r="F625" i="52"/>
  <c r="R625" i="52" s="1"/>
  <c r="W624" i="52"/>
  <c r="V624" i="52"/>
  <c r="U624" i="52"/>
  <c r="T624" i="52"/>
  <c r="P624" i="52"/>
  <c r="M624" i="52"/>
  <c r="F624" i="52"/>
  <c r="R624" i="52" s="1"/>
  <c r="W623" i="52"/>
  <c r="V623" i="52"/>
  <c r="U623" i="52"/>
  <c r="T623" i="52"/>
  <c r="R623" i="52"/>
  <c r="Q623" i="52"/>
  <c r="P623" i="52"/>
  <c r="M623" i="52"/>
  <c r="W622" i="52"/>
  <c r="V622" i="52"/>
  <c r="U622" i="52"/>
  <c r="T622" i="52"/>
  <c r="R622" i="52"/>
  <c r="Q622" i="52"/>
  <c r="P622" i="52"/>
  <c r="M622" i="52"/>
  <c r="W621" i="52"/>
  <c r="V621" i="52"/>
  <c r="U621" i="52"/>
  <c r="R621" i="52"/>
  <c r="Q621" i="52"/>
  <c r="M621" i="52"/>
  <c r="W620" i="52"/>
  <c r="V620" i="52"/>
  <c r="U620" i="52"/>
  <c r="T620" i="52"/>
  <c r="R620" i="52"/>
  <c r="Q620" i="52"/>
  <c r="P620" i="52"/>
  <c r="M620" i="52"/>
  <c r="W619" i="52"/>
  <c r="V619" i="52"/>
  <c r="U619" i="52"/>
  <c r="T619" i="52"/>
  <c r="R619" i="52"/>
  <c r="Q619" i="52"/>
  <c r="P619" i="52"/>
  <c r="M619" i="52"/>
  <c r="W618" i="52"/>
  <c r="V618" i="52"/>
  <c r="U618" i="52"/>
  <c r="T618" i="52"/>
  <c r="P618" i="52"/>
  <c r="M618" i="52"/>
  <c r="F618" i="52"/>
  <c r="R618" i="52" s="1"/>
  <c r="W617" i="52"/>
  <c r="V617" i="52"/>
  <c r="U617" i="52"/>
  <c r="T617" i="52"/>
  <c r="R617" i="52"/>
  <c r="Q617" i="52"/>
  <c r="P617" i="52"/>
  <c r="M617" i="52"/>
  <c r="W616" i="52"/>
  <c r="V616" i="52"/>
  <c r="U616" i="52"/>
  <c r="T616" i="52"/>
  <c r="P616" i="52"/>
  <c r="M616" i="52"/>
  <c r="F616" i="52"/>
  <c r="R616" i="52" s="1"/>
  <c r="W615" i="52"/>
  <c r="V615" i="52"/>
  <c r="U615" i="52"/>
  <c r="T615" i="52"/>
  <c r="R615" i="52"/>
  <c r="Q615" i="52"/>
  <c r="P615" i="52"/>
  <c r="M615" i="52"/>
  <c r="W614" i="52"/>
  <c r="V614" i="52"/>
  <c r="U614" i="52"/>
  <c r="T614" i="52"/>
  <c r="P614" i="52"/>
  <c r="M614" i="52"/>
  <c r="R614" i="52"/>
  <c r="W613" i="52"/>
  <c r="V613" i="52"/>
  <c r="U613" i="52"/>
  <c r="T613" i="52"/>
  <c r="R613" i="52"/>
  <c r="Q613" i="52"/>
  <c r="P613" i="52"/>
  <c r="M613" i="52"/>
  <c r="W612" i="52"/>
  <c r="V612" i="52"/>
  <c r="U612" i="52"/>
  <c r="M612" i="52"/>
  <c r="F612" i="52"/>
  <c r="R612" i="52" s="1"/>
  <c r="W611" i="52"/>
  <c r="V611" i="52"/>
  <c r="U611" i="52"/>
  <c r="T611" i="52"/>
  <c r="P611" i="52"/>
  <c r="M611" i="52"/>
  <c r="F611" i="52"/>
  <c r="R611" i="52" s="1"/>
  <c r="W610" i="52"/>
  <c r="V610" i="52"/>
  <c r="U610" i="52"/>
  <c r="T610" i="52"/>
  <c r="R610" i="52"/>
  <c r="Q610" i="52"/>
  <c r="P610" i="52"/>
  <c r="M610" i="52"/>
  <c r="W609" i="52"/>
  <c r="V609" i="52"/>
  <c r="U609" i="52"/>
  <c r="T609" i="52"/>
  <c r="P609" i="52"/>
  <c r="M609" i="52"/>
  <c r="F609" i="52"/>
  <c r="R609" i="52" s="1"/>
  <c r="W608" i="52"/>
  <c r="V608" i="52"/>
  <c r="U608" i="52"/>
  <c r="T608" i="52"/>
  <c r="P608" i="52"/>
  <c r="M608" i="52"/>
  <c r="F608" i="52"/>
  <c r="R608" i="52" s="1"/>
  <c r="W607" i="52"/>
  <c r="V607" i="52"/>
  <c r="U607" i="52"/>
  <c r="T607" i="52"/>
  <c r="R607" i="52"/>
  <c r="Q607" i="52"/>
  <c r="P607" i="52"/>
  <c r="M607" i="52"/>
  <c r="U606" i="52"/>
  <c r="M606" i="52"/>
  <c r="F606" i="52"/>
  <c r="R606" i="52" s="1"/>
  <c r="W605" i="52"/>
  <c r="V605" i="52"/>
  <c r="U605" i="52"/>
  <c r="T605" i="52"/>
  <c r="P605" i="52"/>
  <c r="M605" i="52"/>
  <c r="F605" i="52"/>
  <c r="R605" i="52" s="1"/>
  <c r="W604" i="52"/>
  <c r="V604" i="52"/>
  <c r="U604" i="52"/>
  <c r="T604" i="52"/>
  <c r="R604" i="52"/>
  <c r="Q604" i="52"/>
  <c r="P604" i="52"/>
  <c r="M604" i="52"/>
  <c r="W603" i="52"/>
  <c r="V603" i="52"/>
  <c r="U603" i="52"/>
  <c r="R603" i="52"/>
  <c r="Q603" i="52"/>
  <c r="M603" i="52"/>
  <c r="W602" i="52"/>
  <c r="V602" i="52"/>
  <c r="U602" i="52"/>
  <c r="T602" i="52"/>
  <c r="R602" i="52"/>
  <c r="Q602" i="52"/>
  <c r="P602" i="52"/>
  <c r="M602" i="52"/>
  <c r="W601" i="52"/>
  <c r="V601" i="52"/>
  <c r="U601" i="52"/>
  <c r="T601" i="52"/>
  <c r="P601" i="52"/>
  <c r="M601" i="52"/>
  <c r="F601" i="52"/>
  <c r="R601" i="52" s="1"/>
  <c r="W600" i="52"/>
  <c r="V600" i="52"/>
  <c r="U600" i="52"/>
  <c r="T600" i="52"/>
  <c r="R600" i="52"/>
  <c r="Q600" i="52"/>
  <c r="P600" i="52"/>
  <c r="M600" i="52"/>
  <c r="W599" i="52"/>
  <c r="V599" i="52"/>
  <c r="U599" i="52"/>
  <c r="T599" i="52"/>
  <c r="P599" i="52"/>
  <c r="M599" i="52"/>
  <c r="R599" i="52"/>
  <c r="W598" i="52"/>
  <c r="V598" i="52"/>
  <c r="U598" i="52"/>
  <c r="T598" i="52"/>
  <c r="R598" i="52"/>
  <c r="Q598" i="52"/>
  <c r="P598" i="52"/>
  <c r="M598" i="52"/>
  <c r="W597" i="52"/>
  <c r="V597" i="52"/>
  <c r="U597" i="52"/>
  <c r="T597" i="52"/>
  <c r="P597" i="52"/>
  <c r="M597" i="52"/>
  <c r="F597" i="52"/>
  <c r="R597" i="52" s="1"/>
  <c r="W596" i="52"/>
  <c r="V596" i="52"/>
  <c r="U596" i="52"/>
  <c r="T596" i="52"/>
  <c r="P596" i="52"/>
  <c r="M596" i="52"/>
  <c r="F596" i="52"/>
  <c r="R596" i="52" s="1"/>
  <c r="W595" i="52"/>
  <c r="V595" i="52"/>
  <c r="U595" i="52"/>
  <c r="T595" i="52"/>
  <c r="R595" i="52"/>
  <c r="Q595" i="52"/>
  <c r="P595" i="52"/>
  <c r="M595" i="52"/>
  <c r="W594" i="52"/>
  <c r="V594" i="52"/>
  <c r="U594" i="52"/>
  <c r="T594" i="52"/>
  <c r="P594" i="52"/>
  <c r="M594" i="52"/>
  <c r="F594" i="52"/>
  <c r="Q594" i="52" s="1"/>
  <c r="W593" i="52"/>
  <c r="V593" i="52"/>
  <c r="U593" i="52"/>
  <c r="T593" i="52"/>
  <c r="R593" i="52"/>
  <c r="Q593" i="52"/>
  <c r="P593" i="52"/>
  <c r="M593" i="52"/>
  <c r="W592" i="52"/>
  <c r="V592" i="52"/>
  <c r="U592" i="52"/>
  <c r="T592" i="52"/>
  <c r="P592" i="52"/>
  <c r="M592" i="52"/>
  <c r="F592" i="52"/>
  <c r="R592" i="52" s="1"/>
  <c r="W591" i="52"/>
  <c r="V591" i="52"/>
  <c r="U591" i="52"/>
  <c r="T591" i="52"/>
  <c r="P591" i="52"/>
  <c r="M591" i="52"/>
  <c r="F591" i="52"/>
  <c r="Q591" i="52" s="1"/>
  <c r="W590" i="52"/>
  <c r="V590" i="52"/>
  <c r="U590" i="52"/>
  <c r="T590" i="52"/>
  <c r="R590" i="52"/>
  <c r="Q590" i="52"/>
  <c r="P590" i="52"/>
  <c r="M590" i="52"/>
  <c r="W589" i="52"/>
  <c r="V589" i="52"/>
  <c r="U589" i="52"/>
  <c r="T589" i="52"/>
  <c r="R589" i="52"/>
  <c r="Q589" i="52"/>
  <c r="P589" i="52"/>
  <c r="M589" i="52"/>
  <c r="W588" i="52"/>
  <c r="V588" i="52"/>
  <c r="U588" i="52"/>
  <c r="T588" i="52"/>
  <c r="R588" i="52"/>
  <c r="Q588" i="52"/>
  <c r="P588" i="52"/>
  <c r="M588" i="52"/>
  <c r="W587" i="52"/>
  <c r="V587" i="52"/>
  <c r="U587" i="52"/>
  <c r="R587" i="52"/>
  <c r="Q587" i="52"/>
  <c r="M587" i="52"/>
  <c r="W586" i="52"/>
  <c r="V586" i="52"/>
  <c r="U586" i="52"/>
  <c r="T586" i="52"/>
  <c r="R586" i="52"/>
  <c r="Q586" i="52"/>
  <c r="P586" i="52"/>
  <c r="M586" i="52"/>
  <c r="W585" i="52"/>
  <c r="V585" i="52"/>
  <c r="U585" i="52"/>
  <c r="T585" i="52"/>
  <c r="R585" i="52"/>
  <c r="Q585" i="52"/>
  <c r="P585" i="52"/>
  <c r="M585" i="52"/>
  <c r="W584" i="52"/>
  <c r="V584" i="52"/>
  <c r="U584" i="52"/>
  <c r="T584" i="52"/>
  <c r="R584" i="52"/>
  <c r="Q584" i="52"/>
  <c r="P584" i="52"/>
  <c r="M584" i="52"/>
  <c r="W583" i="52"/>
  <c r="V583" i="52"/>
  <c r="U583" i="52"/>
  <c r="T583" i="52"/>
  <c r="P583" i="52"/>
  <c r="M583" i="52"/>
  <c r="F583" i="52"/>
  <c r="R583" i="52" s="1"/>
  <c r="W582" i="52"/>
  <c r="V582" i="52"/>
  <c r="U582" i="52"/>
  <c r="T582" i="52"/>
  <c r="P582" i="52"/>
  <c r="M582" i="52"/>
  <c r="F582" i="52"/>
  <c r="R582" i="52" s="1"/>
  <c r="W581" i="52"/>
  <c r="V581" i="52"/>
  <c r="U581" i="52"/>
  <c r="T581" i="52"/>
  <c r="R581" i="52"/>
  <c r="Q581" i="52"/>
  <c r="P581" i="52"/>
  <c r="M581" i="52"/>
  <c r="W580" i="52"/>
  <c r="V580" i="52"/>
  <c r="U580" i="52"/>
  <c r="T580" i="52"/>
  <c r="R580" i="52"/>
  <c r="Q580" i="52"/>
  <c r="P580" i="52"/>
  <c r="M580" i="52"/>
  <c r="W579" i="52"/>
  <c r="V579" i="52"/>
  <c r="U579" i="52"/>
  <c r="T579" i="52"/>
  <c r="R579" i="52"/>
  <c r="P579" i="52"/>
  <c r="M579" i="52"/>
  <c r="E579" i="52"/>
  <c r="Q579" i="52" s="1"/>
  <c r="W578" i="52"/>
  <c r="V578" i="52"/>
  <c r="U578" i="52"/>
  <c r="T578" i="52"/>
  <c r="R578" i="52"/>
  <c r="P578" i="52"/>
  <c r="M578" i="52"/>
  <c r="E578" i="52"/>
  <c r="Q578" i="52" s="1"/>
  <c r="W577" i="52"/>
  <c r="V577" i="52"/>
  <c r="U577" i="52"/>
  <c r="T577" i="52"/>
  <c r="R577" i="52"/>
  <c r="P577" i="52"/>
  <c r="M577" i="52"/>
  <c r="E577" i="52"/>
  <c r="Q577" i="52" s="1"/>
  <c r="W576" i="52"/>
  <c r="V576" i="52"/>
  <c r="U576" i="52"/>
  <c r="T576" i="52"/>
  <c r="R576" i="52"/>
  <c r="Q576" i="52"/>
  <c r="P576" i="52"/>
  <c r="M576" i="52"/>
  <c r="W575" i="52"/>
  <c r="V575" i="52"/>
  <c r="U575" i="52"/>
  <c r="T575" i="52"/>
  <c r="R575" i="52"/>
  <c r="Q575" i="52"/>
  <c r="P575" i="52"/>
  <c r="M575" i="52"/>
  <c r="W574" i="52"/>
  <c r="V574" i="52"/>
  <c r="U574" i="52"/>
  <c r="T574" i="52"/>
  <c r="R574" i="52"/>
  <c r="Q574" i="52"/>
  <c r="P574" i="52"/>
  <c r="M574" i="52"/>
  <c r="W573" i="52"/>
  <c r="V573" i="52"/>
  <c r="U573" i="52"/>
  <c r="T573" i="52"/>
  <c r="R573" i="52"/>
  <c r="Q573" i="52"/>
  <c r="P573" i="52"/>
  <c r="M573" i="52"/>
  <c r="W572" i="52"/>
  <c r="V572" i="52"/>
  <c r="U572" i="52"/>
  <c r="T572" i="52"/>
  <c r="R572" i="52"/>
  <c r="Q572" i="52"/>
  <c r="P572" i="52"/>
  <c r="M572" i="52"/>
  <c r="W571" i="52"/>
  <c r="V571" i="52"/>
  <c r="U571" i="52"/>
  <c r="T571" i="52"/>
  <c r="R571" i="52"/>
  <c r="Q571" i="52"/>
  <c r="P571" i="52"/>
  <c r="M571" i="52"/>
  <c r="W570" i="52"/>
  <c r="V570" i="52"/>
  <c r="U570" i="52"/>
  <c r="T570" i="52"/>
  <c r="R570" i="52"/>
  <c r="Q570" i="52"/>
  <c r="P570" i="52"/>
  <c r="M570" i="52"/>
  <c r="W569" i="52"/>
  <c r="V569" i="52"/>
  <c r="U569" i="52"/>
  <c r="T569" i="52"/>
  <c r="R569" i="52"/>
  <c r="Q569" i="52"/>
  <c r="P569" i="52"/>
  <c r="M569" i="52"/>
  <c r="W568" i="52"/>
  <c r="V568" i="52"/>
  <c r="U568" i="52"/>
  <c r="T568" i="52"/>
  <c r="P568" i="52"/>
  <c r="M568" i="52"/>
  <c r="F568" i="52"/>
  <c r="R568" i="52" s="1"/>
  <c r="W567" i="52"/>
  <c r="V567" i="52"/>
  <c r="U567" i="52"/>
  <c r="T567" i="52"/>
  <c r="P567" i="52"/>
  <c r="M567" i="52"/>
  <c r="F567" i="52"/>
  <c r="Q567" i="52" s="1"/>
  <c r="W566" i="52"/>
  <c r="V566" i="52"/>
  <c r="U566" i="52"/>
  <c r="T566" i="52"/>
  <c r="R566" i="52"/>
  <c r="Q566" i="52"/>
  <c r="P566" i="52"/>
  <c r="M566" i="52"/>
  <c r="W565" i="52"/>
  <c r="V565" i="52"/>
  <c r="U565" i="52"/>
  <c r="T565" i="52"/>
  <c r="R565" i="52"/>
  <c r="Q565" i="52"/>
  <c r="P565" i="52"/>
  <c r="M565" i="52"/>
  <c r="W564" i="52"/>
  <c r="V564" i="52"/>
  <c r="U564" i="52"/>
  <c r="T564" i="52"/>
  <c r="P564" i="52"/>
  <c r="M564" i="52"/>
  <c r="F564" i="52"/>
  <c r="R564" i="52" s="1"/>
  <c r="W563" i="52"/>
  <c r="V563" i="52"/>
  <c r="U563" i="52"/>
  <c r="T563" i="52"/>
  <c r="P563" i="52"/>
  <c r="M563" i="52"/>
  <c r="F563" i="52"/>
  <c r="R563" i="52" s="1"/>
  <c r="W562" i="52"/>
  <c r="V562" i="52"/>
  <c r="U562" i="52"/>
  <c r="T562" i="52"/>
  <c r="R562" i="52"/>
  <c r="P562" i="52"/>
  <c r="M562" i="52"/>
  <c r="F562" i="52"/>
  <c r="Q562" i="52" s="1"/>
  <c r="W561" i="52"/>
  <c r="V561" i="52"/>
  <c r="U561" i="52"/>
  <c r="T561" i="52"/>
  <c r="R561" i="52"/>
  <c r="Q561" i="52"/>
  <c r="P561" i="52"/>
  <c r="M561" i="52"/>
  <c r="W560" i="52"/>
  <c r="V560" i="52"/>
  <c r="U560" i="52"/>
  <c r="T560" i="52"/>
  <c r="R560" i="52"/>
  <c r="Q560" i="52"/>
  <c r="P560" i="52"/>
  <c r="M560" i="52"/>
  <c r="W559" i="52"/>
  <c r="V559" i="52"/>
  <c r="U559" i="52"/>
  <c r="T559" i="52"/>
  <c r="R559" i="52"/>
  <c r="Q559" i="52"/>
  <c r="P559" i="52"/>
  <c r="M559" i="52"/>
  <c r="W558" i="52"/>
  <c r="V558" i="52"/>
  <c r="U558" i="52"/>
  <c r="T558" i="52"/>
  <c r="R558" i="52"/>
  <c r="Q558" i="52"/>
  <c r="P558" i="52"/>
  <c r="M558" i="52"/>
  <c r="W557" i="52"/>
  <c r="V557" i="52"/>
  <c r="U557" i="52"/>
  <c r="T557" i="52"/>
  <c r="P557" i="52"/>
  <c r="M557" i="52"/>
  <c r="F557" i="52"/>
  <c r="R557" i="52" s="1"/>
  <c r="W556" i="52"/>
  <c r="V556" i="52"/>
  <c r="U556" i="52"/>
  <c r="T556" i="52"/>
  <c r="R556" i="52"/>
  <c r="Q556" i="52"/>
  <c r="P556" i="52"/>
  <c r="M556" i="52"/>
  <c r="W555" i="52"/>
  <c r="V555" i="52"/>
  <c r="U555" i="52"/>
  <c r="T555" i="52"/>
  <c r="R555" i="52"/>
  <c r="Q555" i="52"/>
  <c r="P555" i="52"/>
  <c r="M555" i="52"/>
  <c r="W554" i="52"/>
  <c r="V554" i="52"/>
  <c r="U554" i="52"/>
  <c r="T554" i="52"/>
  <c r="R554" i="52"/>
  <c r="Q554" i="52"/>
  <c r="P554" i="52"/>
  <c r="M554" i="52"/>
  <c r="W553" i="52"/>
  <c r="V553" i="52"/>
  <c r="U553" i="52"/>
  <c r="T553" i="52"/>
  <c r="R553" i="52"/>
  <c r="Q553" i="52"/>
  <c r="P553" i="52"/>
  <c r="M553" i="52"/>
  <c r="W552" i="52"/>
  <c r="V552" i="52"/>
  <c r="U552" i="52"/>
  <c r="T552" i="52"/>
  <c r="R552" i="52"/>
  <c r="Q552" i="52"/>
  <c r="P552" i="52"/>
  <c r="M552" i="52"/>
  <c r="W551" i="52"/>
  <c r="V551" i="52"/>
  <c r="U551" i="52"/>
  <c r="T551" i="52"/>
  <c r="R551" i="52"/>
  <c r="Q551" i="52"/>
  <c r="P551" i="52"/>
  <c r="M551" i="52"/>
  <c r="W550" i="52"/>
  <c r="V550" i="52"/>
  <c r="U550" i="52"/>
  <c r="T550" i="52"/>
  <c r="R550" i="52"/>
  <c r="Q550" i="52"/>
  <c r="P550" i="52"/>
  <c r="M550" i="52"/>
  <c r="W549" i="52"/>
  <c r="V549" i="52"/>
  <c r="U549" i="52"/>
  <c r="T549" i="52"/>
  <c r="R549" i="52"/>
  <c r="Q549" i="52"/>
  <c r="P549" i="52"/>
  <c r="M549" i="52"/>
  <c r="W548" i="52"/>
  <c r="V548" i="52"/>
  <c r="U548" i="52"/>
  <c r="T548" i="52"/>
  <c r="P548" i="52"/>
  <c r="M548" i="52"/>
  <c r="F548" i="52"/>
  <c r="R548" i="52" s="1"/>
  <c r="F547" i="52"/>
  <c r="R547" i="52" s="1"/>
  <c r="W546" i="52"/>
  <c r="V546" i="52"/>
  <c r="U546" i="52"/>
  <c r="T546" i="52"/>
  <c r="R546" i="52"/>
  <c r="Q546" i="52"/>
  <c r="P546" i="52"/>
  <c r="M546" i="52"/>
  <c r="W545" i="52"/>
  <c r="V545" i="52"/>
  <c r="U545" i="52"/>
  <c r="T545" i="52"/>
  <c r="R545" i="52"/>
  <c r="Q545" i="52"/>
  <c r="P545" i="52"/>
  <c r="M545" i="52"/>
  <c r="W544" i="52"/>
  <c r="V544" i="52"/>
  <c r="U544" i="52"/>
  <c r="T544" i="52"/>
  <c r="R544" i="52"/>
  <c r="Q544" i="52"/>
  <c r="P544" i="52"/>
  <c r="M544" i="52"/>
  <c r="W543" i="52"/>
  <c r="V543" i="52"/>
  <c r="U543" i="52"/>
  <c r="T543" i="52"/>
  <c r="R543" i="52"/>
  <c r="Q543" i="52"/>
  <c r="P543" i="52"/>
  <c r="M543" i="52"/>
  <c r="W542" i="52"/>
  <c r="V542" i="52"/>
  <c r="U542" i="52"/>
  <c r="T542" i="52"/>
  <c r="R542" i="52"/>
  <c r="Q542" i="52"/>
  <c r="P542" i="52"/>
  <c r="M542" i="52"/>
  <c r="W541" i="52"/>
  <c r="V541" i="52"/>
  <c r="U541" i="52"/>
  <c r="T541" i="52"/>
  <c r="R541" i="52"/>
  <c r="Q541" i="52"/>
  <c r="P541" i="52"/>
  <c r="M541" i="52"/>
  <c r="W540" i="52"/>
  <c r="V540" i="52"/>
  <c r="U540" i="52"/>
  <c r="T540" i="52"/>
  <c r="R540" i="52"/>
  <c r="Q540" i="52"/>
  <c r="P540" i="52"/>
  <c r="M540" i="52"/>
  <c r="W539" i="52"/>
  <c r="V539" i="52"/>
  <c r="U539" i="52"/>
  <c r="T539" i="52"/>
  <c r="R539" i="52"/>
  <c r="Q539" i="52"/>
  <c r="P539" i="52"/>
  <c r="M539" i="52"/>
  <c r="W538" i="52"/>
  <c r="V538" i="52"/>
  <c r="U538" i="52"/>
  <c r="T538" i="52"/>
  <c r="R538" i="52"/>
  <c r="Q538" i="52"/>
  <c r="P538" i="52"/>
  <c r="M538" i="52"/>
  <c r="W537" i="52"/>
  <c r="V537" i="52"/>
  <c r="U537" i="52"/>
  <c r="T537" i="52"/>
  <c r="R537" i="52"/>
  <c r="Q537" i="52"/>
  <c r="P537" i="52"/>
  <c r="M537" i="52"/>
  <c r="W536" i="52"/>
  <c r="V536" i="52"/>
  <c r="U536" i="52"/>
  <c r="T536" i="52"/>
  <c r="P536" i="52"/>
  <c r="M536" i="52"/>
  <c r="F536" i="52"/>
  <c r="R536" i="52" s="1"/>
  <c r="W535" i="52"/>
  <c r="V535" i="52"/>
  <c r="U535" i="52"/>
  <c r="T535" i="52"/>
  <c r="R535" i="52"/>
  <c r="Q535" i="52"/>
  <c r="P535" i="52"/>
  <c r="M535" i="52"/>
  <c r="M534" i="52"/>
  <c r="M533" i="52"/>
  <c r="W532" i="52"/>
  <c r="V532" i="52"/>
  <c r="U532" i="52"/>
  <c r="M532" i="52"/>
  <c r="W531" i="52"/>
  <c r="V531" i="52"/>
  <c r="U531" i="52"/>
  <c r="T531" i="52"/>
  <c r="M531" i="52"/>
  <c r="W530" i="52"/>
  <c r="V530" i="52"/>
  <c r="U530" i="52"/>
  <c r="T530" i="52"/>
  <c r="M530" i="52"/>
  <c r="W529" i="52"/>
  <c r="V529" i="52"/>
  <c r="U529" i="52"/>
  <c r="T529" i="52"/>
  <c r="P529" i="52"/>
  <c r="M529" i="52"/>
  <c r="W528" i="52"/>
  <c r="V528" i="52"/>
  <c r="U528" i="52"/>
  <c r="T528" i="52"/>
  <c r="P528" i="52"/>
  <c r="M528" i="52"/>
  <c r="F528" i="52"/>
  <c r="R528" i="52" s="1"/>
  <c r="W527" i="52"/>
  <c r="V527" i="52"/>
  <c r="U527" i="52"/>
  <c r="T527" i="52"/>
  <c r="P527" i="52"/>
  <c r="M527" i="52"/>
  <c r="F527" i="52"/>
  <c r="R527" i="52" s="1"/>
  <c r="W526" i="52"/>
  <c r="V526" i="52"/>
  <c r="U526" i="52"/>
  <c r="T526" i="52"/>
  <c r="R526" i="52"/>
  <c r="Q526" i="52"/>
  <c r="P526" i="52"/>
  <c r="M526" i="52"/>
  <c r="W525" i="52"/>
  <c r="V525" i="52"/>
  <c r="U525" i="52"/>
  <c r="T525" i="52"/>
  <c r="R525" i="52"/>
  <c r="Q525" i="52"/>
  <c r="P525" i="52"/>
  <c r="M525" i="52"/>
  <c r="W524" i="52"/>
  <c r="V524" i="52"/>
  <c r="U524" i="52"/>
  <c r="T524" i="52"/>
  <c r="R524" i="52"/>
  <c r="Q524" i="52"/>
  <c r="P524" i="52"/>
  <c r="M524" i="52"/>
  <c r="W523" i="52"/>
  <c r="V523" i="52"/>
  <c r="U523" i="52"/>
  <c r="T523" i="52"/>
  <c r="R523" i="52"/>
  <c r="Q523" i="52"/>
  <c r="P523" i="52"/>
  <c r="M523" i="52"/>
  <c r="W522" i="52"/>
  <c r="V522" i="52"/>
  <c r="U522" i="52"/>
  <c r="T522" i="52"/>
  <c r="R522" i="52"/>
  <c r="Q522" i="52"/>
  <c r="P522" i="52"/>
  <c r="M522" i="52"/>
  <c r="W521" i="52"/>
  <c r="V521" i="52"/>
  <c r="U521" i="52"/>
  <c r="T521" i="52"/>
  <c r="R521" i="52"/>
  <c r="Q521" i="52"/>
  <c r="P521" i="52"/>
  <c r="M521" i="52"/>
  <c r="W520" i="52"/>
  <c r="V520" i="52"/>
  <c r="U520" i="52"/>
  <c r="T520" i="52"/>
  <c r="R520" i="52"/>
  <c r="Q520" i="52"/>
  <c r="P520" i="52"/>
  <c r="M520" i="52"/>
  <c r="W519" i="52"/>
  <c r="V519" i="52"/>
  <c r="U519" i="52"/>
  <c r="T519" i="52"/>
  <c r="R519" i="52"/>
  <c r="Q519" i="52"/>
  <c r="P519" i="52"/>
  <c r="M519" i="52"/>
  <c r="W518" i="52"/>
  <c r="V518" i="52"/>
  <c r="U518" i="52"/>
  <c r="T518" i="52"/>
  <c r="R518" i="52"/>
  <c r="Q518" i="52"/>
  <c r="P518" i="52"/>
  <c r="M518" i="52"/>
  <c r="W517" i="52"/>
  <c r="V517" i="52"/>
  <c r="U517" i="52"/>
  <c r="T517" i="52"/>
  <c r="R517" i="52"/>
  <c r="Q517" i="52"/>
  <c r="P517" i="52"/>
  <c r="M517" i="52"/>
  <c r="W516" i="52"/>
  <c r="V516" i="52"/>
  <c r="U516" i="52"/>
  <c r="T516" i="52"/>
  <c r="P516" i="52"/>
  <c r="M516" i="52"/>
  <c r="F516" i="52"/>
  <c r="Q516" i="52" s="1"/>
  <c r="W515" i="52"/>
  <c r="V515" i="52"/>
  <c r="U515" i="52"/>
  <c r="T515" i="52"/>
  <c r="R515" i="52"/>
  <c r="Q515" i="52"/>
  <c r="P515" i="52"/>
  <c r="M515" i="52"/>
  <c r="W514" i="52"/>
  <c r="V514" i="52"/>
  <c r="U514" i="52"/>
  <c r="T514" i="52"/>
  <c r="P514" i="52"/>
  <c r="M514" i="52"/>
  <c r="F514" i="52"/>
  <c r="R514" i="52" s="1"/>
  <c r="W513" i="52"/>
  <c r="V513" i="52"/>
  <c r="U513" i="52"/>
  <c r="T513" i="52"/>
  <c r="R513" i="52"/>
  <c r="Q513" i="52"/>
  <c r="P513" i="52"/>
  <c r="M513" i="52"/>
  <c r="W512" i="52"/>
  <c r="V512" i="52"/>
  <c r="U512" i="52"/>
  <c r="T512" i="52"/>
  <c r="R512" i="52"/>
  <c r="Q512" i="52"/>
  <c r="P512" i="52"/>
  <c r="M512" i="52"/>
  <c r="W511" i="52"/>
  <c r="V511" i="52"/>
  <c r="U511" i="52"/>
  <c r="T511" i="52"/>
  <c r="P511" i="52"/>
  <c r="M511" i="52"/>
  <c r="F511" i="52"/>
  <c r="Q511" i="52" s="1"/>
  <c r="W510" i="52"/>
  <c r="V510" i="52"/>
  <c r="U510" i="52"/>
  <c r="T510" i="52"/>
  <c r="R510" i="52"/>
  <c r="Q510" i="52"/>
  <c r="P510" i="52"/>
  <c r="W509" i="52"/>
  <c r="V509" i="52"/>
  <c r="U509" i="52"/>
  <c r="T509" i="52"/>
  <c r="R509" i="52"/>
  <c r="Q509" i="52"/>
  <c r="P509" i="52"/>
  <c r="M509" i="52"/>
  <c r="W508" i="52"/>
  <c r="V508" i="52"/>
  <c r="U508" i="52"/>
  <c r="T508" i="52"/>
  <c r="P508" i="52"/>
  <c r="M508" i="52"/>
  <c r="F508" i="52"/>
  <c r="Q508" i="52" s="1"/>
  <c r="W507" i="52"/>
  <c r="V507" i="52"/>
  <c r="U507" i="52"/>
  <c r="T507" i="52"/>
  <c r="R507" i="52"/>
  <c r="Q507" i="52"/>
  <c r="P507" i="52"/>
  <c r="M507" i="52"/>
  <c r="W506" i="52"/>
  <c r="V506" i="52"/>
  <c r="U506" i="52"/>
  <c r="T506" i="52"/>
  <c r="P506" i="52"/>
  <c r="M506" i="52"/>
  <c r="F506" i="52"/>
  <c r="Q506" i="52" s="1"/>
  <c r="W505" i="52"/>
  <c r="V505" i="52"/>
  <c r="U505" i="52"/>
  <c r="T505" i="52"/>
  <c r="P505" i="52"/>
  <c r="M505" i="52"/>
  <c r="F505" i="52"/>
  <c r="R505" i="52" s="1"/>
  <c r="W504" i="52"/>
  <c r="V504" i="52"/>
  <c r="U504" i="52"/>
  <c r="T504" i="52"/>
  <c r="R504" i="52"/>
  <c r="Q504" i="52"/>
  <c r="P504" i="52"/>
  <c r="M504" i="52"/>
  <c r="W503" i="52"/>
  <c r="V503" i="52"/>
  <c r="U503" i="52"/>
  <c r="T503" i="52"/>
  <c r="R503" i="52"/>
  <c r="Q503" i="52"/>
  <c r="P503" i="52"/>
  <c r="M503" i="52"/>
  <c r="W502" i="52"/>
  <c r="V502" i="52"/>
  <c r="U502" i="52"/>
  <c r="T502" i="52"/>
  <c r="R502" i="52"/>
  <c r="Q502" i="52"/>
  <c r="P502" i="52"/>
  <c r="M502" i="52"/>
  <c r="W501" i="52"/>
  <c r="V501" i="52"/>
  <c r="U501" i="52"/>
  <c r="T501" i="52"/>
  <c r="R501" i="52"/>
  <c r="Q501" i="52"/>
  <c r="P501" i="52"/>
  <c r="M501" i="52"/>
  <c r="W500" i="52"/>
  <c r="V500" i="52"/>
  <c r="U500" i="52"/>
  <c r="T500" i="52"/>
  <c r="R500" i="52"/>
  <c r="Q500" i="52"/>
  <c r="P500" i="52"/>
  <c r="M500" i="52"/>
  <c r="W499" i="52"/>
  <c r="V499" i="52"/>
  <c r="U499" i="52"/>
  <c r="T499" i="52"/>
  <c r="R499" i="52"/>
  <c r="Q499" i="52"/>
  <c r="P499" i="52"/>
  <c r="M499" i="52"/>
  <c r="W498" i="52"/>
  <c r="V498" i="52"/>
  <c r="U498" i="52"/>
  <c r="T498" i="52"/>
  <c r="R498" i="52"/>
  <c r="Q498" i="52"/>
  <c r="P498" i="52"/>
  <c r="M498" i="52"/>
  <c r="W497" i="52"/>
  <c r="V497" i="52"/>
  <c r="U497" i="52"/>
  <c r="T497" i="52"/>
  <c r="R497" i="52"/>
  <c r="Q497" i="52"/>
  <c r="P497" i="52"/>
  <c r="M497" i="52"/>
  <c r="W496" i="52"/>
  <c r="V496" i="52"/>
  <c r="U496" i="52"/>
  <c r="T496" i="52"/>
  <c r="P496" i="52"/>
  <c r="M496" i="52"/>
  <c r="F496" i="52"/>
  <c r="R496" i="52" s="1"/>
  <c r="W495" i="52"/>
  <c r="V495" i="52"/>
  <c r="U495" i="52"/>
  <c r="T495" i="52"/>
  <c r="R495" i="52"/>
  <c r="Q495" i="52"/>
  <c r="P495" i="52"/>
  <c r="M495" i="52"/>
  <c r="W494" i="52"/>
  <c r="V494" i="52"/>
  <c r="U494" i="52"/>
  <c r="T494" i="52"/>
  <c r="R494" i="52"/>
  <c r="Q494" i="52"/>
  <c r="P494" i="52"/>
  <c r="M494" i="52"/>
  <c r="W493" i="52"/>
  <c r="V493" i="52"/>
  <c r="U493" i="52"/>
  <c r="T493" i="52"/>
  <c r="R493" i="52"/>
  <c r="Q493" i="52"/>
  <c r="P493" i="52"/>
  <c r="M493" i="52"/>
  <c r="W492" i="52"/>
  <c r="V492" i="52"/>
  <c r="U492" i="52"/>
  <c r="T492" i="52"/>
  <c r="P492" i="52"/>
  <c r="M492" i="52"/>
  <c r="F492" i="52"/>
  <c r="Q492" i="52" s="1"/>
  <c r="W491" i="52"/>
  <c r="V491" i="52"/>
  <c r="U491" i="52"/>
  <c r="T491" i="52"/>
  <c r="R491" i="52"/>
  <c r="Q491" i="52"/>
  <c r="P491" i="52"/>
  <c r="M491" i="52"/>
  <c r="W490" i="52"/>
  <c r="V490" i="52"/>
  <c r="U490" i="52"/>
  <c r="W489" i="52"/>
  <c r="V489" i="52"/>
  <c r="U489" i="52"/>
  <c r="W488" i="52"/>
  <c r="V488" i="52"/>
  <c r="U488" i="52"/>
  <c r="W487" i="52"/>
  <c r="V487" i="52"/>
  <c r="U487" i="52"/>
  <c r="W486" i="52"/>
  <c r="V486" i="52"/>
  <c r="U486" i="52"/>
  <c r="W485" i="52"/>
  <c r="V485" i="52"/>
  <c r="U485" i="52"/>
  <c r="W484" i="52"/>
  <c r="V484" i="52"/>
  <c r="U484" i="52"/>
  <c r="W483" i="52"/>
  <c r="V483" i="52"/>
  <c r="U483" i="52"/>
  <c r="W482" i="52"/>
  <c r="V482" i="52"/>
  <c r="U482" i="52"/>
  <c r="W481" i="52"/>
  <c r="V481" i="52"/>
  <c r="U481" i="52"/>
  <c r="W480" i="52"/>
  <c r="V480" i="52"/>
  <c r="U480" i="52"/>
  <c r="W479" i="52"/>
  <c r="V479" i="52"/>
  <c r="U479" i="52"/>
  <c r="W478" i="52"/>
  <c r="V478" i="52"/>
  <c r="U478" i="52"/>
  <c r="W477" i="52"/>
  <c r="V477" i="52"/>
  <c r="U477" i="52"/>
  <c r="W476" i="52"/>
  <c r="V476" i="52"/>
  <c r="U476" i="52"/>
  <c r="W475" i="52"/>
  <c r="V475" i="52"/>
  <c r="U475" i="52"/>
  <c r="W474" i="52"/>
  <c r="V474" i="52"/>
  <c r="U474" i="52"/>
  <c r="W473" i="52"/>
  <c r="V473" i="52"/>
  <c r="U473" i="52"/>
  <c r="W472" i="52"/>
  <c r="V472" i="52"/>
  <c r="U472" i="52"/>
  <c r="W471" i="52"/>
  <c r="V471" i="52"/>
  <c r="U471" i="52"/>
  <c r="W470" i="52"/>
  <c r="V470" i="52"/>
  <c r="U470" i="52"/>
  <c r="W469" i="52"/>
  <c r="V469" i="52"/>
  <c r="U469" i="52"/>
  <c r="W468" i="52"/>
  <c r="V468" i="52"/>
  <c r="U468" i="52"/>
  <c r="W467" i="52"/>
  <c r="V467" i="52"/>
  <c r="U467" i="52"/>
  <c r="W466" i="52"/>
  <c r="V466" i="52"/>
  <c r="U466" i="52"/>
  <c r="W465" i="52"/>
  <c r="V465" i="52"/>
  <c r="U465" i="52"/>
  <c r="W464" i="52"/>
  <c r="V464" i="52"/>
  <c r="U464" i="52"/>
  <c r="F464" i="52"/>
  <c r="R464" i="52" s="1"/>
  <c r="W463" i="52"/>
  <c r="V463" i="52"/>
  <c r="U463" i="52"/>
  <c r="F463" i="52"/>
  <c r="R463" i="52" s="1"/>
  <c r="W462" i="52"/>
  <c r="V462" i="52"/>
  <c r="U462" i="52"/>
  <c r="F462" i="52"/>
  <c r="R462" i="52" s="1"/>
  <c r="W461" i="52"/>
  <c r="V461" i="52"/>
  <c r="U461" i="52"/>
  <c r="F461" i="52"/>
  <c r="R461" i="52" s="1"/>
  <c r="W460" i="52"/>
  <c r="V460" i="52"/>
  <c r="U460" i="52"/>
  <c r="F460" i="52"/>
  <c r="R460" i="52" s="1"/>
  <c r="W459" i="52"/>
  <c r="V459" i="52"/>
  <c r="U459" i="52"/>
  <c r="F459" i="52"/>
  <c r="R459" i="52" s="1"/>
  <c r="W458" i="52"/>
  <c r="V458" i="52"/>
  <c r="U458" i="52"/>
  <c r="F458" i="52"/>
  <c r="R458" i="52" s="1"/>
  <c r="W457" i="52"/>
  <c r="V457" i="52"/>
  <c r="U457" i="52"/>
  <c r="F457" i="52"/>
  <c r="R457" i="52" s="1"/>
  <c r="W456" i="52"/>
  <c r="V456" i="52"/>
  <c r="U456" i="52"/>
  <c r="F456" i="52"/>
  <c r="R456" i="52" s="1"/>
  <c r="W455" i="52"/>
  <c r="V455" i="52"/>
  <c r="U455" i="52"/>
  <c r="F455" i="52"/>
  <c r="R455" i="52" s="1"/>
  <c r="W454" i="52"/>
  <c r="V454" i="52"/>
  <c r="U454" i="52"/>
  <c r="F454" i="52"/>
  <c r="R454" i="52" s="1"/>
  <c r="W453" i="52"/>
  <c r="V453" i="52"/>
  <c r="U453" i="52"/>
  <c r="F453" i="52"/>
  <c r="R453" i="52" s="1"/>
  <c r="W452" i="52"/>
  <c r="V452" i="52"/>
  <c r="U452" i="52"/>
  <c r="F452" i="52"/>
  <c r="R452" i="52" s="1"/>
  <c r="W451" i="52"/>
  <c r="V451" i="52"/>
  <c r="U451" i="52"/>
  <c r="F451" i="52"/>
  <c r="R451" i="52" s="1"/>
  <c r="W450" i="52"/>
  <c r="V450" i="52"/>
  <c r="U450" i="52"/>
  <c r="F450" i="52"/>
  <c r="R450" i="52" s="1"/>
  <c r="W449" i="52"/>
  <c r="V449" i="52"/>
  <c r="U449" i="52"/>
  <c r="F449" i="52"/>
  <c r="R449" i="52" s="1"/>
  <c r="W448" i="52"/>
  <c r="V448" i="52"/>
  <c r="U448" i="52"/>
  <c r="F448" i="52"/>
  <c r="R448" i="52" s="1"/>
  <c r="W447" i="52"/>
  <c r="V447" i="52"/>
  <c r="U447" i="52"/>
  <c r="R447" i="52"/>
  <c r="Q447" i="52"/>
  <c r="W446" i="52"/>
  <c r="V446" i="52"/>
  <c r="U446" i="52"/>
  <c r="R446" i="52"/>
  <c r="Q446" i="52"/>
  <c r="W445" i="52"/>
  <c r="V445" i="52"/>
  <c r="U445" i="52"/>
  <c r="R445" i="52"/>
  <c r="Q445" i="52"/>
  <c r="W444" i="52"/>
  <c r="V444" i="52"/>
  <c r="U444" i="52"/>
  <c r="R444" i="52"/>
  <c r="Q444" i="52"/>
  <c r="W443" i="52"/>
  <c r="V443" i="52"/>
  <c r="U443" i="52"/>
  <c r="R443" i="52"/>
  <c r="Q443" i="52"/>
  <c r="W442" i="52"/>
  <c r="V442" i="52"/>
  <c r="U442" i="52"/>
  <c r="R442" i="52"/>
  <c r="Q442" i="52"/>
  <c r="F442" i="52"/>
  <c r="W441" i="52"/>
  <c r="V441" i="52"/>
  <c r="U441" i="52"/>
  <c r="R441" i="52"/>
  <c r="Q441" i="52"/>
  <c r="W440" i="52"/>
  <c r="V440" i="52"/>
  <c r="U440" i="52"/>
  <c r="F440" i="52"/>
  <c r="R440" i="52" s="1"/>
  <c r="W439" i="52"/>
  <c r="V439" i="52"/>
  <c r="U439" i="52"/>
  <c r="F439" i="52"/>
  <c r="R439" i="52" s="1"/>
  <c r="W438" i="52"/>
  <c r="V438" i="52"/>
  <c r="U438" i="52"/>
  <c r="F438" i="52"/>
  <c r="R438" i="52" s="1"/>
  <c r="W437" i="52"/>
  <c r="V437" i="52"/>
  <c r="U437" i="52"/>
  <c r="F437" i="52"/>
  <c r="R437" i="52" s="1"/>
  <c r="W436" i="52"/>
  <c r="V436" i="52"/>
  <c r="U436" i="52"/>
  <c r="F436" i="52"/>
  <c r="R436" i="52" s="1"/>
  <c r="W435" i="52"/>
  <c r="V435" i="52"/>
  <c r="U435" i="52"/>
  <c r="F435" i="52"/>
  <c r="R435" i="52" s="1"/>
  <c r="W434" i="52"/>
  <c r="V434" i="52"/>
  <c r="U434" i="52"/>
  <c r="F434" i="52"/>
  <c r="R434" i="52" s="1"/>
  <c r="W433" i="52"/>
  <c r="V433" i="52"/>
  <c r="U433" i="52"/>
  <c r="F433" i="52"/>
  <c r="R433" i="52" s="1"/>
  <c r="W432" i="52"/>
  <c r="V432" i="52"/>
  <c r="U432" i="52"/>
  <c r="R432" i="52"/>
  <c r="Q432" i="52"/>
  <c r="W431" i="52"/>
  <c r="V431" i="52"/>
  <c r="U431" i="52"/>
  <c r="R431" i="52"/>
  <c r="Q431" i="52"/>
  <c r="W430" i="52"/>
  <c r="V430" i="52"/>
  <c r="U430" i="52"/>
  <c r="R430" i="52"/>
  <c r="Q430" i="52"/>
  <c r="W429" i="52"/>
  <c r="V429" i="52"/>
  <c r="U429" i="52"/>
  <c r="F429" i="52"/>
  <c r="R429" i="52" s="1"/>
  <c r="W428" i="52"/>
  <c r="V428" i="52"/>
  <c r="U428" i="52"/>
  <c r="R428" i="52"/>
  <c r="Q428" i="52"/>
  <c r="W427" i="52"/>
  <c r="V427" i="52"/>
  <c r="U427" i="52"/>
  <c r="R427" i="52"/>
  <c r="Q427" i="52"/>
  <c r="W426" i="52"/>
  <c r="V426" i="52"/>
  <c r="U426" i="52"/>
  <c r="R426" i="52"/>
  <c r="Q426" i="52"/>
  <c r="W425" i="52"/>
  <c r="V425" i="52"/>
  <c r="U425" i="52"/>
  <c r="R425" i="52"/>
  <c r="Q425" i="52"/>
  <c r="W424" i="52"/>
  <c r="V424" i="52"/>
  <c r="U424" i="52"/>
  <c r="R424" i="52"/>
  <c r="Q424" i="52"/>
  <c r="W423" i="52"/>
  <c r="V423" i="52"/>
  <c r="U423" i="52"/>
  <c r="R423" i="52"/>
  <c r="Q423" i="52"/>
  <c r="W422" i="52"/>
  <c r="V422" i="52"/>
  <c r="U422" i="52"/>
  <c r="R422" i="52"/>
  <c r="Q422" i="52"/>
  <c r="W421" i="52"/>
  <c r="V421" i="52"/>
  <c r="U421" i="52"/>
  <c r="R421" i="52"/>
  <c r="Q421" i="52"/>
  <c r="W420" i="52"/>
  <c r="V420" i="52"/>
  <c r="U420" i="52"/>
  <c r="R420" i="52"/>
  <c r="Q420" i="52"/>
  <c r="W419" i="52"/>
  <c r="V419" i="52"/>
  <c r="U419" i="52"/>
  <c r="F419" i="52"/>
  <c r="R419" i="52" s="1"/>
  <c r="W418" i="52"/>
  <c r="V418" i="52"/>
  <c r="U418" i="52"/>
  <c r="F418" i="52"/>
  <c r="R418" i="52" s="1"/>
  <c r="W417" i="52"/>
  <c r="V417" i="52"/>
  <c r="U417" i="52"/>
  <c r="F417" i="52"/>
  <c r="R417" i="52" s="1"/>
  <c r="W416" i="52"/>
  <c r="V416" i="52"/>
  <c r="U416" i="52"/>
  <c r="R416" i="52"/>
  <c r="Q416" i="52"/>
  <c r="W415" i="52"/>
  <c r="V415" i="52"/>
  <c r="U415" i="52"/>
  <c r="R415" i="52"/>
  <c r="Q415" i="52"/>
  <c r="W414" i="52"/>
  <c r="V414" i="52"/>
  <c r="U414" i="52"/>
  <c r="R414" i="52"/>
  <c r="Q414" i="52"/>
  <c r="W413" i="52"/>
  <c r="V413" i="52"/>
  <c r="U413" i="52"/>
  <c r="R413" i="52"/>
  <c r="Q413" i="52"/>
  <c r="W412" i="52"/>
  <c r="V412" i="52"/>
  <c r="U412" i="52"/>
  <c r="R412" i="52"/>
  <c r="Q412" i="52"/>
  <c r="W411" i="52"/>
  <c r="V411" i="52"/>
  <c r="U411" i="52"/>
  <c r="R411" i="52"/>
  <c r="Q411" i="52"/>
  <c r="W410" i="52"/>
  <c r="V410" i="52"/>
  <c r="U410" i="52"/>
  <c r="R410" i="52"/>
  <c r="Q410" i="52"/>
  <c r="W409" i="52"/>
  <c r="V409" i="52"/>
  <c r="U409" i="52"/>
  <c r="F409" i="52"/>
  <c r="R409" i="52" s="1"/>
  <c r="W408" i="52"/>
  <c r="V408" i="52"/>
  <c r="U408" i="52"/>
  <c r="R408" i="52"/>
  <c r="Q408" i="52"/>
  <c r="W407" i="52"/>
  <c r="V407" i="52"/>
  <c r="U407" i="52"/>
  <c r="R407" i="52"/>
  <c r="Q407" i="52"/>
  <c r="W406" i="52"/>
  <c r="V406" i="52"/>
  <c r="U406" i="52"/>
  <c r="F406" i="52"/>
  <c r="R406" i="52" s="1"/>
  <c r="W405" i="52"/>
  <c r="V405" i="52"/>
  <c r="U405" i="52"/>
  <c r="F405" i="52"/>
  <c r="R405" i="52" s="1"/>
  <c r="W404" i="52"/>
  <c r="V404" i="52"/>
  <c r="U404" i="52"/>
  <c r="T404" i="52"/>
  <c r="R404" i="52"/>
  <c r="Q404" i="52"/>
  <c r="P404" i="52"/>
  <c r="M404" i="52"/>
  <c r="W403" i="52"/>
  <c r="V403" i="52"/>
  <c r="U403" i="52"/>
  <c r="T403" i="52"/>
  <c r="R403" i="52"/>
  <c r="Q403" i="52"/>
  <c r="P403" i="52"/>
  <c r="M403" i="52"/>
  <c r="W402" i="52"/>
  <c r="V402" i="52"/>
  <c r="U402" i="52"/>
  <c r="T402" i="52"/>
  <c r="R402" i="52"/>
  <c r="Q402" i="52"/>
  <c r="P402" i="52"/>
  <c r="M402" i="52"/>
  <c r="W401" i="52"/>
  <c r="V401" i="52"/>
  <c r="U401" i="52"/>
  <c r="T401" i="52"/>
  <c r="R401" i="52"/>
  <c r="Q401" i="52"/>
  <c r="P401" i="52"/>
  <c r="M401" i="52"/>
  <c r="W400" i="52"/>
  <c r="V400" i="52"/>
  <c r="U400" i="52"/>
  <c r="T400" i="52"/>
  <c r="R400" i="52"/>
  <c r="Q400" i="52"/>
  <c r="P400" i="52"/>
  <c r="M400" i="52"/>
  <c r="W399" i="52"/>
  <c r="V399" i="52"/>
  <c r="U399" i="52"/>
  <c r="T399" i="52"/>
  <c r="R399" i="52"/>
  <c r="Q399" i="52"/>
  <c r="P399" i="52"/>
  <c r="M399" i="52"/>
  <c r="W398" i="52"/>
  <c r="V398" i="52"/>
  <c r="U398" i="52"/>
  <c r="T398" i="52"/>
  <c r="R398" i="52"/>
  <c r="Q398" i="52"/>
  <c r="P398" i="52"/>
  <c r="M398" i="52"/>
  <c r="W397" i="52"/>
  <c r="V397" i="52"/>
  <c r="U397" i="52"/>
  <c r="T397" i="52"/>
  <c r="R397" i="52"/>
  <c r="Q397" i="52"/>
  <c r="P397" i="52"/>
  <c r="M397" i="52"/>
  <c r="W396" i="52"/>
  <c r="V396" i="52"/>
  <c r="U396" i="52"/>
  <c r="T396" i="52"/>
  <c r="R396" i="52"/>
  <c r="Q396" i="52"/>
  <c r="P396" i="52"/>
  <c r="M396" i="52"/>
  <c r="W395" i="52"/>
  <c r="V395" i="52"/>
  <c r="U395" i="52"/>
  <c r="T395" i="52"/>
  <c r="R395" i="52"/>
  <c r="Q395" i="52"/>
  <c r="P395" i="52"/>
  <c r="M395" i="52"/>
  <c r="W394" i="52"/>
  <c r="V394" i="52"/>
  <c r="U394" i="52"/>
  <c r="T394" i="52"/>
  <c r="R394" i="52"/>
  <c r="Q394" i="52"/>
  <c r="P394" i="52"/>
  <c r="M394" i="52"/>
  <c r="W393" i="52"/>
  <c r="V393" i="52"/>
  <c r="U393" i="52"/>
  <c r="T393" i="52"/>
  <c r="R393" i="52"/>
  <c r="Q393" i="52"/>
  <c r="P393" i="52"/>
  <c r="M393" i="52"/>
  <c r="W392" i="52"/>
  <c r="V392" i="52"/>
  <c r="U392" i="52"/>
  <c r="T392" i="52"/>
  <c r="R392" i="52"/>
  <c r="Q392" i="52"/>
  <c r="P392" i="52"/>
  <c r="M392" i="52"/>
  <c r="W391" i="52"/>
  <c r="V391" i="52"/>
  <c r="U391" i="52"/>
  <c r="T391" i="52"/>
  <c r="R391" i="52"/>
  <c r="Q391" i="52"/>
  <c r="P391" i="52"/>
  <c r="M391" i="52"/>
  <c r="W390" i="52"/>
  <c r="V390" i="52"/>
  <c r="U390" i="52"/>
  <c r="T390" i="52"/>
  <c r="R390" i="52"/>
  <c r="Q390" i="52"/>
  <c r="P390" i="52"/>
  <c r="M390" i="52"/>
  <c r="W389" i="52"/>
  <c r="V389" i="52"/>
  <c r="U389" i="52"/>
  <c r="T389" i="52"/>
  <c r="P389" i="52"/>
  <c r="M389" i="52"/>
  <c r="F389" i="52"/>
  <c r="R389" i="52" s="1"/>
  <c r="W388" i="52"/>
  <c r="V388" i="52"/>
  <c r="U388" i="52"/>
  <c r="T388" i="52"/>
  <c r="P388" i="52"/>
  <c r="M388" i="52"/>
  <c r="F388" i="52"/>
  <c r="R388" i="52" s="1"/>
  <c r="W387" i="52"/>
  <c r="V387" i="52"/>
  <c r="U387" i="52"/>
  <c r="T387" i="52"/>
  <c r="R387" i="52"/>
  <c r="Q387" i="52"/>
  <c r="P387" i="52"/>
  <c r="M387" i="52"/>
  <c r="W386" i="52"/>
  <c r="V386" i="52"/>
  <c r="U386" i="52"/>
  <c r="T386" i="52"/>
  <c r="R386" i="52"/>
  <c r="Q386" i="52"/>
  <c r="P386" i="52"/>
  <c r="M386" i="52"/>
  <c r="W385" i="52"/>
  <c r="V385" i="52"/>
  <c r="U385" i="52"/>
  <c r="T385" i="52"/>
  <c r="R385" i="52"/>
  <c r="Q385" i="52"/>
  <c r="P385" i="52"/>
  <c r="M385" i="52"/>
  <c r="W384" i="52"/>
  <c r="V384" i="52"/>
  <c r="U384" i="52"/>
  <c r="T384" i="52"/>
  <c r="R384" i="52"/>
  <c r="Q384" i="52"/>
  <c r="P384" i="52"/>
  <c r="M384" i="52"/>
  <c r="W383" i="52"/>
  <c r="V383" i="52"/>
  <c r="U383" i="52"/>
  <c r="T383" i="52"/>
  <c r="R383" i="52"/>
  <c r="Q383" i="52"/>
  <c r="P383" i="52"/>
  <c r="M383" i="52"/>
  <c r="W382" i="52"/>
  <c r="V382" i="52"/>
  <c r="U382" i="52"/>
  <c r="T382" i="52"/>
  <c r="R382" i="52"/>
  <c r="Q382" i="52"/>
  <c r="P382" i="52"/>
  <c r="M382" i="52"/>
  <c r="W381" i="52"/>
  <c r="V381" i="52"/>
  <c r="U381" i="52"/>
  <c r="T381" i="52"/>
  <c r="R381" i="52"/>
  <c r="Q381" i="52"/>
  <c r="P381" i="52"/>
  <c r="M381" i="52"/>
  <c r="W380" i="52"/>
  <c r="V380" i="52"/>
  <c r="U380" i="52"/>
  <c r="T380" i="52"/>
  <c r="R380" i="52"/>
  <c r="Q380" i="52"/>
  <c r="P380" i="52"/>
  <c r="W379" i="52"/>
  <c r="V379" i="52"/>
  <c r="U379" i="52"/>
  <c r="T379" i="52"/>
  <c r="R379" i="52"/>
  <c r="Q379" i="52"/>
  <c r="P379" i="52"/>
  <c r="M379" i="52"/>
  <c r="W378" i="52"/>
  <c r="V378" i="52"/>
  <c r="U378" i="52"/>
  <c r="T378" i="52"/>
  <c r="R378" i="52"/>
  <c r="Q378" i="52"/>
  <c r="P378" i="52"/>
  <c r="M378" i="52"/>
  <c r="W377" i="52"/>
  <c r="V377" i="52"/>
  <c r="U377" i="52"/>
  <c r="T377" i="52"/>
  <c r="P377" i="52"/>
  <c r="M377" i="52"/>
  <c r="F377" i="52"/>
  <c r="R377" i="52" s="1"/>
  <c r="W376" i="52"/>
  <c r="V376" i="52"/>
  <c r="U376" i="52"/>
  <c r="T376" i="52"/>
  <c r="P376" i="52"/>
  <c r="M376" i="52"/>
  <c r="F376" i="52"/>
  <c r="R376" i="52" s="1"/>
  <c r="W375" i="52"/>
  <c r="V375" i="52"/>
  <c r="U375" i="52"/>
  <c r="T375" i="52"/>
  <c r="P375" i="52"/>
  <c r="M375" i="52"/>
  <c r="F375" i="52"/>
  <c r="R375" i="52" s="1"/>
  <c r="W374" i="52"/>
  <c r="V374" i="52"/>
  <c r="U374" i="52"/>
  <c r="T374" i="52"/>
  <c r="P374" i="52"/>
  <c r="M374" i="52"/>
  <c r="F374" i="52"/>
  <c r="R374" i="52" s="1"/>
  <c r="W373" i="52"/>
  <c r="V373" i="52"/>
  <c r="U373" i="52"/>
  <c r="T373" i="52"/>
  <c r="P373" i="52"/>
  <c r="M373" i="52"/>
  <c r="F373" i="52"/>
  <c r="R373" i="52" s="1"/>
  <c r="W372" i="52"/>
  <c r="V372" i="52"/>
  <c r="U372" i="52"/>
  <c r="T372" i="52"/>
  <c r="P372" i="52"/>
  <c r="M372" i="52"/>
  <c r="F372" i="52"/>
  <c r="R372" i="52" s="1"/>
  <c r="W371" i="52"/>
  <c r="V371" i="52"/>
  <c r="U371" i="52"/>
  <c r="T371" i="52"/>
  <c r="R371" i="52"/>
  <c r="Q371" i="52"/>
  <c r="P371" i="52"/>
  <c r="M371" i="52"/>
  <c r="W370" i="52"/>
  <c r="V370" i="52"/>
  <c r="U370" i="52"/>
  <c r="T370" i="52"/>
  <c r="R370" i="52"/>
  <c r="Q370" i="52"/>
  <c r="P370" i="52"/>
  <c r="M370" i="52"/>
  <c r="W369" i="52"/>
  <c r="V369" i="52"/>
  <c r="U369" i="52"/>
  <c r="T369" i="52"/>
  <c r="P369" i="52"/>
  <c r="M369" i="52"/>
  <c r="Q369" i="52"/>
  <c r="W368" i="52"/>
  <c r="V368" i="52"/>
  <c r="U368" i="52"/>
  <c r="T368" i="52"/>
  <c r="R368" i="52"/>
  <c r="Q368" i="52"/>
  <c r="P368" i="52"/>
  <c r="M368" i="52"/>
  <c r="W367" i="52"/>
  <c r="V367" i="52"/>
  <c r="U367" i="52"/>
  <c r="T367" i="52"/>
  <c r="R367" i="52"/>
  <c r="Q367" i="52"/>
  <c r="P367" i="52"/>
  <c r="M367" i="52"/>
  <c r="W366" i="52"/>
  <c r="V366" i="52"/>
  <c r="U366" i="52"/>
  <c r="T366" i="52"/>
  <c r="R366" i="52"/>
  <c r="Q366" i="52"/>
  <c r="P366" i="52"/>
  <c r="M366" i="52"/>
  <c r="W365" i="52"/>
  <c r="V365" i="52"/>
  <c r="U365" i="52"/>
  <c r="T365" i="52"/>
  <c r="R365" i="52"/>
  <c r="Q365" i="52"/>
  <c r="P365" i="52"/>
  <c r="M365" i="52"/>
  <c r="W364" i="52"/>
  <c r="V364" i="52"/>
  <c r="U364" i="52"/>
  <c r="T364" i="52"/>
  <c r="R364" i="52"/>
  <c r="Q364" i="52"/>
  <c r="P364" i="52"/>
  <c r="M364" i="52"/>
  <c r="W363" i="52"/>
  <c r="V363" i="52"/>
  <c r="U363" i="52"/>
  <c r="T363" i="52"/>
  <c r="P363" i="52"/>
  <c r="M363" i="52"/>
  <c r="F363" i="52"/>
  <c r="R363" i="52" s="1"/>
  <c r="W362" i="52"/>
  <c r="V362" i="52"/>
  <c r="U362" i="52"/>
  <c r="T362" i="52"/>
  <c r="R362" i="52"/>
  <c r="Q362" i="52"/>
  <c r="P362" i="52"/>
  <c r="W361" i="52"/>
  <c r="V361" i="52"/>
  <c r="U361" i="52"/>
  <c r="T361" i="52"/>
  <c r="P361" i="52"/>
  <c r="M361" i="52"/>
  <c r="F361" i="52"/>
  <c r="R361" i="52" s="1"/>
  <c r="W360" i="52"/>
  <c r="V360" i="52"/>
  <c r="U360" i="52"/>
  <c r="T360" i="52"/>
  <c r="R360" i="52"/>
  <c r="Q360" i="52"/>
  <c r="P360" i="52"/>
  <c r="M360" i="52"/>
  <c r="W359" i="52"/>
  <c r="V359" i="52"/>
  <c r="U359" i="52"/>
  <c r="T359" i="52"/>
  <c r="R359" i="52"/>
  <c r="P359" i="52"/>
  <c r="M359" i="52"/>
  <c r="F359" i="52"/>
  <c r="Q359" i="52" s="1"/>
  <c r="W358" i="52"/>
  <c r="V358" i="52"/>
  <c r="U358" i="52"/>
  <c r="R358" i="52"/>
  <c r="Q358" i="52"/>
  <c r="W357" i="52"/>
  <c r="V357" i="52"/>
  <c r="U357" i="52"/>
  <c r="F357" i="52"/>
  <c r="W356" i="52"/>
  <c r="V356" i="52"/>
  <c r="U356" i="52"/>
  <c r="W355" i="52"/>
  <c r="V355" i="52"/>
  <c r="U355" i="52"/>
  <c r="R355" i="52"/>
  <c r="Q355" i="52"/>
  <c r="W354" i="52"/>
  <c r="V354" i="52"/>
  <c r="U354" i="52"/>
  <c r="R354" i="52"/>
  <c r="Q354" i="52"/>
  <c r="M354" i="52"/>
  <c r="W353" i="52"/>
  <c r="V353" i="52"/>
  <c r="U353" i="52"/>
  <c r="R353" i="52"/>
  <c r="Q353" i="52"/>
  <c r="M353" i="52"/>
  <c r="W352" i="52"/>
  <c r="V352" i="52"/>
  <c r="U352" i="52"/>
  <c r="R352" i="52"/>
  <c r="Q352" i="52"/>
  <c r="W351" i="52"/>
  <c r="V351" i="52"/>
  <c r="U351" i="52"/>
  <c r="M351" i="52"/>
  <c r="F351" i="52"/>
  <c r="R351" i="52" s="1"/>
  <c r="W350" i="52"/>
  <c r="V350" i="52"/>
  <c r="U350" i="52"/>
  <c r="M350" i="52"/>
  <c r="F350" i="52"/>
  <c r="R350" i="52" s="1"/>
  <c r="W349" i="52"/>
  <c r="V349" i="52"/>
  <c r="U349" i="52"/>
  <c r="R349" i="52"/>
  <c r="Q349" i="52"/>
  <c r="W348" i="52"/>
  <c r="V348" i="52"/>
  <c r="U348" i="52"/>
  <c r="M348" i="52"/>
  <c r="F348" i="52"/>
  <c r="Q348" i="52" s="1"/>
  <c r="W347" i="52"/>
  <c r="V347" i="52"/>
  <c r="U347" i="52"/>
  <c r="R347" i="52"/>
  <c r="Q347" i="52"/>
  <c r="M347" i="52"/>
  <c r="W346" i="52"/>
  <c r="V346" i="52"/>
  <c r="U346" i="52"/>
  <c r="R346" i="52"/>
  <c r="Q346" i="52"/>
  <c r="M346" i="52"/>
  <c r="W345" i="52"/>
  <c r="V345" i="52"/>
  <c r="U345" i="52"/>
  <c r="M345" i="52"/>
  <c r="F345" i="52"/>
  <c r="R345" i="52" s="1"/>
  <c r="W344" i="52"/>
  <c r="V344" i="52"/>
  <c r="U344" i="52"/>
  <c r="M344" i="52"/>
  <c r="F344" i="52"/>
  <c r="R344" i="52" s="1"/>
  <c r="W343" i="52"/>
  <c r="V343" i="52"/>
  <c r="U343" i="52"/>
  <c r="R343" i="52"/>
  <c r="Q343" i="52"/>
  <c r="W342" i="52"/>
  <c r="V342" i="52"/>
  <c r="U342" i="52"/>
  <c r="R342" i="52"/>
  <c r="Q342" i="52"/>
  <c r="M342" i="52"/>
  <c r="W341" i="52"/>
  <c r="V341" i="52"/>
  <c r="U341" i="52"/>
  <c r="R341" i="52"/>
  <c r="Q341" i="52"/>
  <c r="W340" i="52"/>
  <c r="V340" i="52"/>
  <c r="U340" i="52"/>
  <c r="M340" i="52"/>
  <c r="F340" i="52"/>
  <c r="R340" i="52" s="1"/>
  <c r="W339" i="52"/>
  <c r="V339" i="52"/>
  <c r="U339" i="52"/>
  <c r="M339" i="52"/>
  <c r="F339" i="52"/>
  <c r="R339" i="52" s="1"/>
  <c r="W338" i="52"/>
  <c r="V338" i="52"/>
  <c r="U338" i="52"/>
  <c r="M338" i="52"/>
  <c r="F338" i="52"/>
  <c r="R338" i="52" s="1"/>
  <c r="W337" i="52"/>
  <c r="V337" i="52"/>
  <c r="U337" i="52"/>
  <c r="M337" i="52"/>
  <c r="F337" i="52"/>
  <c r="Q337" i="52" s="1"/>
  <c r="W336" i="52"/>
  <c r="V336" i="52"/>
  <c r="U336" i="52"/>
  <c r="R336" i="52"/>
  <c r="Q336" i="52"/>
  <c r="M336" i="52"/>
  <c r="W335" i="52"/>
  <c r="V335" i="52"/>
  <c r="U335" i="52"/>
  <c r="M335" i="52"/>
  <c r="F335" i="52"/>
  <c r="R335" i="52" s="1"/>
  <c r="W334" i="52"/>
  <c r="V334" i="52"/>
  <c r="U334" i="52"/>
  <c r="M334" i="52"/>
  <c r="F334" i="52"/>
  <c r="Q334" i="52" s="1"/>
  <c r="W333" i="52"/>
  <c r="V333" i="52"/>
  <c r="U333" i="52"/>
  <c r="M333" i="52"/>
  <c r="F333" i="52"/>
  <c r="R333" i="52" s="1"/>
  <c r="W332" i="52"/>
  <c r="V332" i="52"/>
  <c r="U332" i="52"/>
  <c r="T332" i="52"/>
  <c r="R332" i="52"/>
  <c r="Q332" i="52"/>
  <c r="P332" i="52"/>
  <c r="M332" i="52"/>
  <c r="W331" i="52"/>
  <c r="V331" i="52"/>
  <c r="U331" i="52"/>
  <c r="R331" i="52"/>
  <c r="Q331" i="52"/>
  <c r="W330" i="52"/>
  <c r="V330" i="52"/>
  <c r="U330" i="52"/>
  <c r="R330" i="52"/>
  <c r="Q330" i="52"/>
  <c r="M330" i="52"/>
  <c r="W329" i="52"/>
  <c r="V329" i="52"/>
  <c r="U329" i="52"/>
  <c r="R329" i="52"/>
  <c r="Q329" i="52"/>
  <c r="M329" i="52"/>
  <c r="W328" i="52"/>
  <c r="V328" i="52"/>
  <c r="U328" i="52"/>
  <c r="M328" i="52"/>
  <c r="F328" i="52"/>
  <c r="R328" i="52" s="1"/>
  <c r="W327" i="52"/>
  <c r="V327" i="52"/>
  <c r="U327" i="52"/>
  <c r="R327" i="52"/>
  <c r="Q327" i="52"/>
  <c r="M327" i="52"/>
  <c r="W326" i="52"/>
  <c r="V326" i="52"/>
  <c r="U326" i="52"/>
  <c r="R326" i="52"/>
  <c r="Q326" i="52"/>
  <c r="W325" i="52"/>
  <c r="V325" i="52"/>
  <c r="U325" i="52"/>
  <c r="M325" i="52"/>
  <c r="F325" i="52"/>
  <c r="R325" i="52" s="1"/>
  <c r="W324" i="52"/>
  <c r="V324" i="52"/>
  <c r="U324" i="52"/>
  <c r="R324" i="52"/>
  <c r="Q324" i="52"/>
  <c r="M324" i="52"/>
  <c r="W323" i="52"/>
  <c r="V323" i="52"/>
  <c r="U323" i="52"/>
  <c r="M323" i="52"/>
  <c r="F323" i="52"/>
  <c r="R323" i="52" s="1"/>
  <c r="W322" i="52"/>
  <c r="V322" i="52"/>
  <c r="U322" i="52"/>
  <c r="T322" i="52"/>
  <c r="P322" i="52"/>
  <c r="M322" i="52"/>
  <c r="F322" i="52"/>
  <c r="Q322" i="52" s="1"/>
  <c r="W321" i="52"/>
  <c r="V321" i="52"/>
  <c r="U321" i="52"/>
  <c r="R321" i="52"/>
  <c r="Q321" i="52"/>
  <c r="M321" i="52"/>
  <c r="W320" i="52"/>
  <c r="V320" i="52"/>
  <c r="U320" i="52"/>
  <c r="R320" i="52"/>
  <c r="Q320" i="52"/>
  <c r="W319" i="52"/>
  <c r="V319" i="52"/>
  <c r="U319" i="52"/>
  <c r="R319" i="52"/>
  <c r="Q319" i="52"/>
  <c r="M319" i="52"/>
  <c r="W318" i="52"/>
  <c r="V318" i="52"/>
  <c r="U318" i="52"/>
  <c r="R318" i="52"/>
  <c r="Q318" i="52"/>
  <c r="M318" i="52"/>
  <c r="W317" i="52"/>
  <c r="V317" i="52"/>
  <c r="U317" i="52"/>
  <c r="R317" i="52"/>
  <c r="Q317" i="52"/>
  <c r="M317" i="52"/>
  <c r="W316" i="52"/>
  <c r="V316" i="52"/>
  <c r="U316" i="52"/>
  <c r="T316" i="52"/>
  <c r="R316" i="52"/>
  <c r="Q316" i="52"/>
  <c r="P316" i="52"/>
  <c r="M316" i="52"/>
  <c r="W315" i="52"/>
  <c r="V315" i="52"/>
  <c r="U315" i="52"/>
  <c r="M315" i="52"/>
  <c r="F315" i="52"/>
  <c r="R315" i="52" s="1"/>
  <c r="W314" i="52"/>
  <c r="V314" i="52"/>
  <c r="U314" i="52"/>
  <c r="R314" i="52"/>
  <c r="Q314" i="52"/>
  <c r="W313" i="52"/>
  <c r="V313" i="52"/>
  <c r="U313" i="52"/>
  <c r="R313" i="52"/>
  <c r="Q313" i="52"/>
  <c r="M313" i="52"/>
  <c r="W312" i="52"/>
  <c r="V312" i="52"/>
  <c r="U312" i="52"/>
  <c r="R312" i="52"/>
  <c r="Q312" i="52"/>
  <c r="M312" i="52"/>
  <c r="W311" i="52"/>
  <c r="V311" i="52"/>
  <c r="U311" i="52"/>
  <c r="R311" i="52"/>
  <c r="Q311" i="52"/>
  <c r="M311" i="52"/>
  <c r="W310" i="52"/>
  <c r="V310" i="52"/>
  <c r="U310" i="52"/>
  <c r="T310" i="52"/>
  <c r="P310" i="52"/>
  <c r="M310" i="52"/>
  <c r="F310" i="52"/>
  <c r="R310" i="52" s="1"/>
  <c r="W309" i="52"/>
  <c r="V309" i="52"/>
  <c r="U309" i="52"/>
  <c r="R309" i="52"/>
  <c r="Q309" i="52"/>
  <c r="M309" i="52"/>
  <c r="W308" i="52"/>
  <c r="V308" i="52"/>
  <c r="U308" i="52"/>
  <c r="R308" i="52"/>
  <c r="Q308" i="52"/>
  <c r="W307" i="52"/>
  <c r="V307" i="52"/>
  <c r="U307" i="52"/>
  <c r="R307" i="52"/>
  <c r="Q307" i="52"/>
  <c r="M307" i="52"/>
  <c r="W306" i="52"/>
  <c r="V306" i="52"/>
  <c r="U306" i="52"/>
  <c r="M306" i="52"/>
  <c r="F306" i="52"/>
  <c r="R306" i="52" s="1"/>
  <c r="W305" i="52"/>
  <c r="V305" i="52"/>
  <c r="U305" i="52"/>
  <c r="R305" i="52"/>
  <c r="Q305" i="52"/>
  <c r="M305" i="52"/>
  <c r="W304" i="52"/>
  <c r="V304" i="52"/>
  <c r="U304" i="52"/>
  <c r="T304" i="52"/>
  <c r="R304" i="52"/>
  <c r="Q304" i="52"/>
  <c r="P304" i="52"/>
  <c r="M304" i="52"/>
  <c r="W303" i="52"/>
  <c r="V303" i="52"/>
  <c r="U303" i="52"/>
  <c r="R303" i="52"/>
  <c r="Q303" i="52"/>
  <c r="M303" i="52"/>
  <c r="W302" i="52"/>
  <c r="V302" i="52"/>
  <c r="U302" i="52"/>
  <c r="R302" i="52"/>
  <c r="Q302" i="52"/>
  <c r="M302" i="52"/>
  <c r="W301" i="52"/>
  <c r="V301" i="52"/>
  <c r="U301" i="52"/>
  <c r="M301" i="52"/>
  <c r="F301" i="52"/>
  <c r="R301" i="52" s="1"/>
  <c r="W300" i="52"/>
  <c r="V300" i="52"/>
  <c r="U300" i="52"/>
  <c r="R300" i="52"/>
  <c r="Q300" i="52"/>
  <c r="W299" i="52"/>
  <c r="V299" i="52"/>
  <c r="U299" i="52"/>
  <c r="R299" i="52"/>
  <c r="Q299" i="52"/>
  <c r="W298" i="52"/>
  <c r="V298" i="52"/>
  <c r="U298" i="52"/>
  <c r="R298" i="52"/>
  <c r="Q298" i="52"/>
  <c r="M298" i="52"/>
  <c r="W297" i="52"/>
  <c r="V297" i="52"/>
  <c r="U297" i="52"/>
  <c r="M297" i="52"/>
  <c r="F297" i="52"/>
  <c r="R297" i="52" s="1"/>
  <c r="W296" i="52"/>
  <c r="V296" i="52"/>
  <c r="U296" i="52"/>
  <c r="R296" i="52"/>
  <c r="Q296" i="52"/>
  <c r="M296" i="52"/>
  <c r="W295" i="52"/>
  <c r="V295" i="52"/>
  <c r="U295" i="52"/>
  <c r="R295" i="52"/>
  <c r="Q295" i="52"/>
  <c r="W294" i="52"/>
  <c r="V294" i="52"/>
  <c r="U294" i="52"/>
  <c r="R294" i="52"/>
  <c r="Q294" i="52"/>
  <c r="M294" i="52"/>
  <c r="W293" i="52"/>
  <c r="V293" i="52"/>
  <c r="U293" i="52"/>
  <c r="R293" i="52"/>
  <c r="Q293" i="52"/>
  <c r="M293" i="52"/>
  <c r="W292" i="52"/>
  <c r="V292" i="52"/>
  <c r="U292" i="52"/>
  <c r="M292" i="52"/>
  <c r="F292" i="52"/>
  <c r="R292" i="52" s="1"/>
  <c r="W291" i="52"/>
  <c r="V291" i="52"/>
  <c r="U291" i="52"/>
  <c r="T291" i="52"/>
  <c r="P291" i="52"/>
  <c r="M291" i="52"/>
  <c r="F291" i="52"/>
  <c r="R291" i="52" s="1"/>
  <c r="W290" i="52"/>
  <c r="V290" i="52"/>
  <c r="U290" i="52"/>
  <c r="R290" i="52"/>
  <c r="Q290" i="52"/>
  <c r="M290" i="52"/>
  <c r="W289" i="52"/>
  <c r="V289" i="52"/>
  <c r="U289" i="52"/>
  <c r="R289" i="52"/>
  <c r="Q289" i="52"/>
  <c r="M289" i="52"/>
  <c r="W288" i="52"/>
  <c r="V288" i="52"/>
  <c r="U288" i="52"/>
  <c r="T288" i="52"/>
  <c r="R288" i="52"/>
  <c r="Q288" i="52"/>
  <c r="P288" i="52"/>
  <c r="M288" i="52"/>
  <c r="W287" i="52"/>
  <c r="V287" i="52"/>
  <c r="U287" i="52"/>
  <c r="R287" i="52"/>
  <c r="Q287" i="52"/>
  <c r="M287" i="52"/>
  <c r="W286" i="52"/>
  <c r="V286" i="52"/>
  <c r="U286" i="52"/>
  <c r="R286" i="52"/>
  <c r="Q286" i="52"/>
  <c r="M286" i="52"/>
  <c r="W285" i="52"/>
  <c r="V285" i="52"/>
  <c r="U285" i="52"/>
  <c r="R285" i="52"/>
  <c r="Q285" i="52"/>
  <c r="W284" i="52"/>
  <c r="V284" i="52"/>
  <c r="U284" i="52"/>
  <c r="R284" i="52"/>
  <c r="Q284" i="52"/>
  <c r="M284" i="52"/>
  <c r="W283" i="52"/>
  <c r="V283" i="52"/>
  <c r="U283" i="52"/>
  <c r="R283" i="52"/>
  <c r="Q283" i="52"/>
  <c r="M283" i="52"/>
  <c r="W282" i="52"/>
  <c r="V282" i="52"/>
  <c r="U282" i="52"/>
  <c r="M282" i="52"/>
  <c r="F282" i="52"/>
  <c r="Q282" i="52" s="1"/>
  <c r="W281" i="52"/>
  <c r="V281" i="52"/>
  <c r="U281" i="52"/>
  <c r="T281" i="52"/>
  <c r="R281" i="52"/>
  <c r="Q281" i="52"/>
  <c r="P281" i="52"/>
  <c r="M281" i="52"/>
  <c r="W280" i="52"/>
  <c r="V280" i="52"/>
  <c r="U280" i="52"/>
  <c r="M280" i="52"/>
  <c r="F280" i="52"/>
  <c r="R280" i="52" s="1"/>
  <c r="W279" i="52"/>
  <c r="V279" i="52"/>
  <c r="U279" i="52"/>
  <c r="M279" i="52"/>
  <c r="F279" i="52"/>
  <c r="R279" i="52" s="1"/>
  <c r="W278" i="52"/>
  <c r="V278" i="52"/>
  <c r="U278" i="52"/>
  <c r="R278" i="52"/>
  <c r="Q278" i="52"/>
  <c r="M278" i="52"/>
  <c r="W277" i="52"/>
  <c r="V277" i="52"/>
  <c r="U277" i="52"/>
  <c r="T277" i="52"/>
  <c r="P277" i="52"/>
  <c r="M277" i="52"/>
  <c r="F277" i="52"/>
  <c r="Q277" i="52" s="1"/>
  <c r="W276" i="52"/>
  <c r="V276" i="52"/>
  <c r="U276" i="52"/>
  <c r="T276" i="52"/>
  <c r="R276" i="52"/>
  <c r="Q276" i="52"/>
  <c r="P276" i="52"/>
  <c r="M276" i="52"/>
  <c r="W275" i="52"/>
  <c r="V275" i="52"/>
  <c r="U275" i="52"/>
  <c r="R275" i="52"/>
  <c r="Q275" i="52"/>
  <c r="M275" i="52"/>
  <c r="W274" i="52"/>
  <c r="V274" i="52"/>
  <c r="U274" i="52"/>
  <c r="R274" i="52"/>
  <c r="Q274" i="52"/>
  <c r="M274" i="52"/>
  <c r="W273" i="52"/>
  <c r="V273" i="52"/>
  <c r="U273" i="52"/>
  <c r="M273" i="52"/>
  <c r="F273" i="52"/>
  <c r="R273" i="52" s="1"/>
  <c r="W272" i="52"/>
  <c r="V272" i="52"/>
  <c r="U272" i="52"/>
  <c r="M272" i="52"/>
  <c r="F272" i="52"/>
  <c r="R272" i="52" s="1"/>
  <c r="W271" i="52"/>
  <c r="V271" i="52"/>
  <c r="U271" i="52"/>
  <c r="T271" i="52"/>
  <c r="P271" i="52"/>
  <c r="M271" i="52"/>
  <c r="F271" i="52"/>
  <c r="R271" i="52" s="1"/>
  <c r="W270" i="52"/>
  <c r="V270" i="52"/>
  <c r="U270" i="52"/>
  <c r="R270" i="52"/>
  <c r="Q270" i="52"/>
  <c r="M270" i="52"/>
  <c r="W269" i="52"/>
  <c r="V269" i="52"/>
  <c r="U269" i="52"/>
  <c r="R269" i="52"/>
  <c r="Q269" i="52"/>
  <c r="M269" i="52"/>
  <c r="W268" i="52"/>
  <c r="V268" i="52"/>
  <c r="U268" i="52"/>
  <c r="M268" i="52"/>
  <c r="F268" i="52"/>
  <c r="R268" i="52" s="1"/>
  <c r="W267" i="52"/>
  <c r="V267" i="52"/>
  <c r="U267" i="52"/>
  <c r="T267" i="52"/>
  <c r="P267" i="52"/>
  <c r="M267" i="52"/>
  <c r="F267" i="52"/>
  <c r="R267" i="52" s="1"/>
  <c r="R266" i="52"/>
  <c r="Q266" i="52"/>
  <c r="R265" i="52"/>
  <c r="Q265" i="52"/>
  <c r="W264" i="52"/>
  <c r="V264" i="52"/>
  <c r="U264" i="52"/>
  <c r="T264" i="52"/>
  <c r="R264" i="52"/>
  <c r="Q264" i="52"/>
  <c r="P264" i="52"/>
  <c r="M264" i="52"/>
  <c r="W263" i="52"/>
  <c r="V263" i="52"/>
  <c r="U263" i="52"/>
  <c r="T263" i="52"/>
  <c r="P263" i="52"/>
  <c r="M263" i="52"/>
  <c r="F263" i="52"/>
  <c r="R263" i="52" s="1"/>
  <c r="W262" i="52"/>
  <c r="V262" i="52"/>
  <c r="U262" i="52"/>
  <c r="T262" i="52"/>
  <c r="Q262" i="52"/>
  <c r="P262" i="52"/>
  <c r="M262" i="52"/>
  <c r="F262" i="52"/>
  <c r="R262" i="52" s="1"/>
  <c r="W261" i="52"/>
  <c r="V261" i="52"/>
  <c r="U261" i="52"/>
  <c r="T261" i="52"/>
  <c r="P261" i="52"/>
  <c r="M261" i="52"/>
  <c r="F261" i="52"/>
  <c r="R261" i="52" s="1"/>
  <c r="W260" i="52"/>
  <c r="V260" i="52"/>
  <c r="U260" i="52"/>
  <c r="T260" i="52"/>
  <c r="P260" i="52"/>
  <c r="M260" i="52"/>
  <c r="F260" i="52"/>
  <c r="R260" i="52" s="1"/>
  <c r="W259" i="52"/>
  <c r="V259" i="52"/>
  <c r="U259" i="52"/>
  <c r="T259" i="52"/>
  <c r="R259" i="52"/>
  <c r="P259" i="52"/>
  <c r="M259" i="52"/>
  <c r="W258" i="52"/>
  <c r="V258" i="52"/>
  <c r="U258" i="52"/>
  <c r="T258" i="52"/>
  <c r="P258" i="52"/>
  <c r="M258" i="52"/>
  <c r="F258" i="52"/>
  <c r="R258" i="52" s="1"/>
  <c r="E258" i="52"/>
  <c r="W257" i="52"/>
  <c r="V257" i="52"/>
  <c r="U257" i="52"/>
  <c r="T257" i="52"/>
  <c r="P257" i="52"/>
  <c r="M257" i="52"/>
  <c r="F257" i="52"/>
  <c r="R257" i="52" s="1"/>
  <c r="W256" i="52"/>
  <c r="V256" i="52"/>
  <c r="U256" i="52"/>
  <c r="T256" i="52"/>
  <c r="P256" i="52"/>
  <c r="M256" i="52"/>
  <c r="F256" i="52"/>
  <c r="Q256" i="52" s="1"/>
  <c r="W255" i="52"/>
  <c r="V255" i="52"/>
  <c r="U255" i="52"/>
  <c r="T255" i="52"/>
  <c r="P255" i="52"/>
  <c r="M255" i="52"/>
  <c r="F255" i="52"/>
  <c r="R255" i="52" s="1"/>
  <c r="W254" i="52"/>
  <c r="V254" i="52"/>
  <c r="U254" i="52"/>
  <c r="T254" i="52"/>
  <c r="P254" i="52"/>
  <c r="M254" i="52"/>
  <c r="F254" i="52"/>
  <c r="R254" i="52" s="1"/>
  <c r="W253" i="52"/>
  <c r="V253" i="52"/>
  <c r="U253" i="52"/>
  <c r="T253" i="52"/>
  <c r="P253" i="52"/>
  <c r="M253" i="52"/>
  <c r="F253" i="52"/>
  <c r="Q253" i="52" s="1"/>
  <c r="W252" i="52"/>
  <c r="V252" i="52"/>
  <c r="U252" i="52"/>
  <c r="T252" i="52"/>
  <c r="P252" i="52"/>
  <c r="M252" i="52"/>
  <c r="F252" i="52"/>
  <c r="R252" i="52" s="1"/>
  <c r="W251" i="52"/>
  <c r="V251" i="52"/>
  <c r="U251" i="52"/>
  <c r="T251" i="52"/>
  <c r="R251" i="52"/>
  <c r="Q251" i="52"/>
  <c r="P251" i="52"/>
  <c r="M251" i="52"/>
  <c r="W250" i="52"/>
  <c r="V250" i="52"/>
  <c r="U250" i="52"/>
  <c r="T250" i="52"/>
  <c r="P250" i="52"/>
  <c r="M250" i="52"/>
  <c r="F250" i="52"/>
  <c r="R250" i="52" s="1"/>
  <c r="W249" i="52"/>
  <c r="V249" i="52"/>
  <c r="U249" i="52"/>
  <c r="T249" i="52"/>
  <c r="P249" i="52"/>
  <c r="M249" i="52"/>
  <c r="F249" i="52"/>
  <c r="R249" i="52" s="1"/>
  <c r="W248" i="52"/>
  <c r="V248" i="52"/>
  <c r="U248" i="52"/>
  <c r="T248" i="52"/>
  <c r="R248" i="52"/>
  <c r="Q248" i="52"/>
  <c r="P248" i="52"/>
  <c r="M248" i="52"/>
  <c r="W247" i="52"/>
  <c r="V247" i="52"/>
  <c r="U247" i="52"/>
  <c r="T247" i="52"/>
  <c r="R247" i="52"/>
  <c r="Q247" i="52"/>
  <c r="P247" i="52"/>
  <c r="M247" i="52"/>
  <c r="W246" i="52"/>
  <c r="V246" i="52"/>
  <c r="U246" i="52"/>
  <c r="T246" i="52"/>
  <c r="R246" i="52"/>
  <c r="Q246" i="52"/>
  <c r="P246" i="52"/>
  <c r="M246" i="52"/>
  <c r="W245" i="52"/>
  <c r="V245" i="52"/>
  <c r="U245" i="52"/>
  <c r="T245" i="52"/>
  <c r="R245" i="52"/>
  <c r="Q245" i="52"/>
  <c r="P245" i="52"/>
  <c r="M245" i="52"/>
  <c r="W244" i="52"/>
  <c r="V244" i="52"/>
  <c r="U244" i="52"/>
  <c r="T244" i="52"/>
  <c r="R244" i="52"/>
  <c r="Q244" i="52"/>
  <c r="P244" i="52"/>
  <c r="M244" i="52"/>
  <c r="W243" i="52"/>
  <c r="V243" i="52"/>
  <c r="U243" i="52"/>
  <c r="T243" i="52"/>
  <c r="R243" i="52"/>
  <c r="Q243" i="52"/>
  <c r="P243" i="52"/>
  <c r="M243" i="52"/>
  <c r="W242" i="52"/>
  <c r="V242" i="52"/>
  <c r="U242" i="52"/>
  <c r="T242" i="52"/>
  <c r="R242" i="52"/>
  <c r="Q242" i="52"/>
  <c r="P242" i="52"/>
  <c r="M242" i="52"/>
  <c r="W241" i="52"/>
  <c r="V241" i="52"/>
  <c r="U241" i="52"/>
  <c r="T241" i="52"/>
  <c r="P241" i="52"/>
  <c r="M241" i="52"/>
  <c r="F241" i="52"/>
  <c r="R241" i="52" s="1"/>
  <c r="W240" i="52"/>
  <c r="V240" i="52"/>
  <c r="U240" i="52"/>
  <c r="T240" i="52"/>
  <c r="P240" i="52"/>
  <c r="M240" i="52"/>
  <c r="F240" i="52"/>
  <c r="R240" i="52" s="1"/>
  <c r="W239" i="52"/>
  <c r="V239" i="52"/>
  <c r="U239" i="52"/>
  <c r="T239" i="52"/>
  <c r="R239" i="52"/>
  <c r="Q239" i="52"/>
  <c r="P239" i="52"/>
  <c r="M239" i="52"/>
  <c r="W238" i="52"/>
  <c r="V238" i="52"/>
  <c r="U238" i="52"/>
  <c r="T238" i="52"/>
  <c r="R238" i="52"/>
  <c r="Q238" i="52"/>
  <c r="P238" i="52"/>
  <c r="M238" i="52"/>
  <c r="W237" i="52"/>
  <c r="V237" i="52"/>
  <c r="U237" i="52"/>
  <c r="T237" i="52"/>
  <c r="R237" i="52"/>
  <c r="Q237" i="52"/>
  <c r="P237" i="52"/>
  <c r="M237" i="52"/>
  <c r="W236" i="52"/>
  <c r="V236" i="52"/>
  <c r="U236" i="52"/>
  <c r="T236" i="52"/>
  <c r="R236" i="52"/>
  <c r="Q236" i="52"/>
  <c r="P236" i="52"/>
  <c r="M236" i="52"/>
  <c r="W235" i="52"/>
  <c r="V235" i="52"/>
  <c r="U235" i="52"/>
  <c r="T235" i="52"/>
  <c r="R235" i="52"/>
  <c r="Q235" i="52"/>
  <c r="P235" i="52"/>
  <c r="M235" i="52"/>
  <c r="W234" i="52"/>
  <c r="V234" i="52"/>
  <c r="U234" i="52"/>
  <c r="T234" i="52"/>
  <c r="R234" i="52"/>
  <c r="Q234" i="52"/>
  <c r="P234" i="52"/>
  <c r="M234" i="52"/>
  <c r="W233" i="52"/>
  <c r="V233" i="52"/>
  <c r="U233" i="52"/>
  <c r="T233" i="52"/>
  <c r="R233" i="52"/>
  <c r="Q233" i="52"/>
  <c r="P233" i="52"/>
  <c r="M233" i="52"/>
  <c r="W232" i="52"/>
  <c r="V232" i="52"/>
  <c r="U232" i="52"/>
  <c r="T232" i="52"/>
  <c r="R232" i="52"/>
  <c r="Q232" i="52"/>
  <c r="P232" i="52"/>
  <c r="M232" i="52"/>
  <c r="W231" i="52"/>
  <c r="V231" i="52"/>
  <c r="U231" i="52"/>
  <c r="T231" i="52"/>
  <c r="R231" i="52"/>
  <c r="Q231" i="52"/>
  <c r="P231" i="52"/>
  <c r="M231" i="52"/>
  <c r="W230" i="52"/>
  <c r="V230" i="52"/>
  <c r="U230" i="52"/>
  <c r="T230" i="52"/>
  <c r="R230" i="52"/>
  <c r="Q230" i="52"/>
  <c r="P230" i="52"/>
  <c r="M230" i="52"/>
  <c r="W229" i="52"/>
  <c r="V229" i="52"/>
  <c r="U229" i="52"/>
  <c r="T229" i="52"/>
  <c r="R229" i="52"/>
  <c r="Q229" i="52"/>
  <c r="P229" i="52"/>
  <c r="M229" i="52"/>
  <c r="W228" i="52"/>
  <c r="V228" i="52"/>
  <c r="U228" i="52"/>
  <c r="T228" i="52"/>
  <c r="P228" i="52"/>
  <c r="M228" i="52"/>
  <c r="F228" i="52"/>
  <c r="R228" i="52" s="1"/>
  <c r="W227" i="52"/>
  <c r="V227" i="52"/>
  <c r="U227" i="52"/>
  <c r="T227" i="52"/>
  <c r="R227" i="52"/>
  <c r="Q227" i="52"/>
  <c r="P227" i="52"/>
  <c r="M227" i="52"/>
  <c r="W226" i="52"/>
  <c r="V226" i="52"/>
  <c r="U226" i="52"/>
  <c r="T226" i="52"/>
  <c r="R226" i="52"/>
  <c r="Q226" i="52"/>
  <c r="P226" i="52"/>
  <c r="M226" i="52"/>
  <c r="W225" i="52"/>
  <c r="V225" i="52"/>
  <c r="U225" i="52"/>
  <c r="T225" i="52"/>
  <c r="R225" i="52"/>
  <c r="Q225" i="52"/>
  <c r="P225" i="52"/>
  <c r="M225" i="52"/>
  <c r="W224" i="52"/>
  <c r="V224" i="52"/>
  <c r="U224" i="52"/>
  <c r="T224" i="52"/>
  <c r="R224" i="52"/>
  <c r="Q224" i="52"/>
  <c r="P224" i="52"/>
  <c r="M224" i="52"/>
  <c r="W223" i="52"/>
  <c r="V223" i="52"/>
  <c r="U223" i="52"/>
  <c r="T223" i="52"/>
  <c r="P223" i="52"/>
  <c r="M223" i="52"/>
  <c r="F223" i="52"/>
  <c r="R223" i="52" s="1"/>
  <c r="W222" i="52"/>
  <c r="V222" i="52"/>
  <c r="U222" i="52"/>
  <c r="T222" i="52"/>
  <c r="Q222" i="52"/>
  <c r="P222" i="52"/>
  <c r="M222" i="52"/>
  <c r="F222" i="52"/>
  <c r="R222" i="52" s="1"/>
  <c r="W221" i="52"/>
  <c r="V221" i="52"/>
  <c r="U221" i="52"/>
  <c r="T221" i="52"/>
  <c r="R221" i="52"/>
  <c r="Q221" i="52"/>
  <c r="P221" i="52"/>
  <c r="M221" i="52"/>
  <c r="W220" i="52"/>
  <c r="V220" i="52"/>
  <c r="U220" i="52"/>
  <c r="T220" i="52"/>
  <c r="R220" i="52"/>
  <c r="Q220" i="52"/>
  <c r="P220" i="52"/>
  <c r="M220" i="52"/>
  <c r="W219" i="52"/>
  <c r="V219" i="52"/>
  <c r="U219" i="52"/>
  <c r="T219" i="52"/>
  <c r="R219" i="52"/>
  <c r="Q219" i="52"/>
  <c r="P219" i="52"/>
  <c r="M219" i="52"/>
  <c r="W218" i="52"/>
  <c r="V218" i="52"/>
  <c r="U218" i="52"/>
  <c r="T218" i="52"/>
  <c r="R218" i="52"/>
  <c r="Q218" i="52"/>
  <c r="P218" i="52"/>
  <c r="M218" i="52"/>
  <c r="W217" i="52"/>
  <c r="V217" i="52"/>
  <c r="U217" i="52"/>
  <c r="T217" i="52"/>
  <c r="R217" i="52"/>
  <c r="Q217" i="52"/>
  <c r="P217" i="52"/>
  <c r="M217" i="52"/>
  <c r="W216" i="52"/>
  <c r="V216" i="52"/>
  <c r="U216" i="52"/>
  <c r="T216" i="52"/>
  <c r="R216" i="52"/>
  <c r="P216" i="52"/>
  <c r="M216" i="52"/>
  <c r="F216" i="52"/>
  <c r="Q216" i="52" s="1"/>
  <c r="W215" i="52"/>
  <c r="V215" i="52"/>
  <c r="U215" i="52"/>
  <c r="T215" i="52"/>
  <c r="R215" i="52"/>
  <c r="Q215" i="52"/>
  <c r="P215" i="52"/>
  <c r="M215" i="52"/>
  <c r="W214" i="52"/>
  <c r="V214" i="52"/>
  <c r="U214" i="52"/>
  <c r="T214" i="52"/>
  <c r="R214" i="52"/>
  <c r="Q214" i="52"/>
  <c r="P214" i="52"/>
  <c r="M214" i="52"/>
  <c r="W213" i="52"/>
  <c r="V213" i="52"/>
  <c r="U213" i="52"/>
  <c r="T213" i="52"/>
  <c r="R213" i="52"/>
  <c r="Q213" i="52"/>
  <c r="P213" i="52"/>
  <c r="M213" i="52"/>
  <c r="W212" i="52"/>
  <c r="V212" i="52"/>
  <c r="U212" i="52"/>
  <c r="T212" i="52"/>
  <c r="R212" i="52"/>
  <c r="Q212" i="52"/>
  <c r="P212" i="52"/>
  <c r="M212" i="52"/>
  <c r="W211" i="52"/>
  <c r="V211" i="52"/>
  <c r="U211" i="52"/>
  <c r="T211" i="52"/>
  <c r="R211" i="52"/>
  <c r="Q211" i="52"/>
  <c r="P211" i="52"/>
  <c r="M211" i="52"/>
  <c r="W210" i="52"/>
  <c r="V210" i="52"/>
  <c r="U210" i="52"/>
  <c r="T210" i="52"/>
  <c r="P210" i="52"/>
  <c r="M210" i="52"/>
  <c r="F210" i="52"/>
  <c r="R210" i="52" s="1"/>
  <c r="W209" i="52"/>
  <c r="V209" i="52"/>
  <c r="U209" i="52"/>
  <c r="T209" i="52"/>
  <c r="R209" i="52"/>
  <c r="Q209" i="52"/>
  <c r="P209" i="52"/>
  <c r="M209" i="52"/>
  <c r="W208" i="52"/>
  <c r="V208" i="52"/>
  <c r="U208" i="52"/>
  <c r="T208" i="52"/>
  <c r="R208" i="52"/>
  <c r="Q208" i="52"/>
  <c r="P208" i="52"/>
  <c r="M208" i="52"/>
  <c r="W207" i="52"/>
  <c r="V207" i="52"/>
  <c r="U207" i="52"/>
  <c r="T207" i="52"/>
  <c r="R207" i="52"/>
  <c r="Q207" i="52"/>
  <c r="P207" i="52"/>
  <c r="M207" i="52"/>
  <c r="W206" i="52"/>
  <c r="V206" i="52"/>
  <c r="U206" i="52"/>
  <c r="T206" i="52"/>
  <c r="R206" i="52"/>
  <c r="Q206" i="52"/>
  <c r="P206" i="52"/>
  <c r="M206" i="52"/>
  <c r="W205" i="52"/>
  <c r="V205" i="52"/>
  <c r="U205" i="52"/>
  <c r="T205" i="52"/>
  <c r="R205" i="52"/>
  <c r="Q205" i="52"/>
  <c r="P205" i="52"/>
  <c r="M205" i="52"/>
  <c r="W204" i="52"/>
  <c r="V204" i="52"/>
  <c r="U204" i="52"/>
  <c r="T204" i="52"/>
  <c r="R204" i="52"/>
  <c r="Q204" i="52"/>
  <c r="P204" i="52"/>
  <c r="M204" i="52"/>
  <c r="W203" i="52"/>
  <c r="V203" i="52"/>
  <c r="U203" i="52"/>
  <c r="T203" i="52"/>
  <c r="R203" i="52"/>
  <c r="Q203" i="52"/>
  <c r="P203" i="52"/>
  <c r="M203" i="52"/>
  <c r="W202" i="52"/>
  <c r="V202" i="52"/>
  <c r="U202" i="52"/>
  <c r="T202" i="52"/>
  <c r="R202" i="52"/>
  <c r="Q202" i="52"/>
  <c r="P202" i="52"/>
  <c r="M202" i="52"/>
  <c r="W201" i="52"/>
  <c r="V201" i="52"/>
  <c r="U201" i="52"/>
  <c r="T201" i="52"/>
  <c r="R201" i="52"/>
  <c r="Q201" i="52"/>
  <c r="P201" i="52"/>
  <c r="M201" i="52"/>
  <c r="W200" i="52"/>
  <c r="V200" i="52"/>
  <c r="U200" i="52"/>
  <c r="T200" i="52"/>
  <c r="R200" i="52"/>
  <c r="Q200" i="52"/>
  <c r="P200" i="52"/>
  <c r="M200" i="52"/>
  <c r="W199" i="52"/>
  <c r="V199" i="52"/>
  <c r="U199" i="52"/>
  <c r="T199" i="52"/>
  <c r="R199" i="52"/>
  <c r="Q199" i="52"/>
  <c r="P199" i="52"/>
  <c r="M199" i="52"/>
  <c r="W198" i="52"/>
  <c r="V198" i="52"/>
  <c r="U198" i="52"/>
  <c r="T198" i="52"/>
  <c r="P198" i="52"/>
  <c r="M198" i="52"/>
  <c r="F198" i="52"/>
  <c r="R198" i="52" s="1"/>
  <c r="W197" i="52"/>
  <c r="V197" i="52"/>
  <c r="U197" i="52"/>
  <c r="T197" i="52"/>
  <c r="P197" i="52"/>
  <c r="M197" i="52"/>
  <c r="F197" i="52"/>
  <c r="Q197" i="52" s="1"/>
  <c r="W196" i="52"/>
  <c r="V196" i="52"/>
  <c r="U196" i="52"/>
  <c r="T196" i="52"/>
  <c r="P196" i="52"/>
  <c r="M196" i="52"/>
  <c r="F196" i="52"/>
  <c r="R196" i="52" s="1"/>
  <c r="B196" i="52"/>
  <c r="B197" i="52" s="1"/>
  <c r="B198" i="52" s="1"/>
  <c r="B199" i="52" s="1"/>
  <c r="B200" i="52" s="1"/>
  <c r="B201" i="52" s="1"/>
  <c r="B202" i="52" s="1"/>
  <c r="B203" i="52" s="1"/>
  <c r="B204" i="52" s="1"/>
  <c r="B205" i="52" s="1"/>
  <c r="B206" i="52" s="1"/>
  <c r="B207" i="52" s="1"/>
  <c r="B208" i="52" s="1"/>
  <c r="B209" i="52" s="1"/>
  <c r="B210" i="52" s="1"/>
  <c r="B211" i="52" s="1"/>
  <c r="B212" i="52" s="1"/>
  <c r="B213" i="52" s="1"/>
  <c r="B214" i="52" s="1"/>
  <c r="B215" i="52" s="1"/>
  <c r="B216" i="52" s="1"/>
  <c r="B217" i="52" s="1"/>
  <c r="B218" i="52" s="1"/>
  <c r="B219" i="52" s="1"/>
  <c r="B220" i="52" s="1"/>
  <c r="B221" i="52" s="1"/>
  <c r="B222" i="52" s="1"/>
  <c r="B223" i="52" s="1"/>
  <c r="B224" i="52" s="1"/>
  <c r="B225" i="52" s="1"/>
  <c r="B226" i="52" s="1"/>
  <c r="B227" i="52" s="1"/>
  <c r="B228" i="52" s="1"/>
  <c r="B229" i="52" s="1"/>
  <c r="B230" i="52" s="1"/>
  <c r="B231" i="52" s="1"/>
  <c r="B232" i="52" s="1"/>
  <c r="B233" i="52" s="1"/>
  <c r="B234" i="52" s="1"/>
  <c r="B235" i="52" s="1"/>
  <c r="B236" i="52" s="1"/>
  <c r="B237" i="52" s="1"/>
  <c r="B238" i="52" s="1"/>
  <c r="B239" i="52" s="1"/>
  <c r="B240" i="52" s="1"/>
  <c r="B241" i="52" s="1"/>
  <c r="B242" i="52" s="1"/>
  <c r="B243" i="52" s="1"/>
  <c r="B244" i="52" s="1"/>
  <c r="B245" i="52" s="1"/>
  <c r="B246" i="52" s="1"/>
  <c r="B247" i="52" s="1"/>
  <c r="B248" i="52" s="1"/>
  <c r="B249" i="52" s="1"/>
  <c r="B250" i="52" s="1"/>
  <c r="B251" i="52" s="1"/>
  <c r="B252" i="52" s="1"/>
  <c r="B253" i="52" s="1"/>
  <c r="B254" i="52" s="1"/>
  <c r="B255" i="52" s="1"/>
  <c r="B256" i="52" s="1"/>
  <c r="B257" i="52" s="1"/>
  <c r="B258" i="52" s="1"/>
  <c r="B259" i="52" s="1"/>
  <c r="B260" i="52" s="1"/>
  <c r="B261" i="52" s="1"/>
  <c r="B262" i="52" s="1"/>
  <c r="W195" i="52"/>
  <c r="V195" i="52"/>
  <c r="U195" i="52"/>
  <c r="T195" i="52"/>
  <c r="R195" i="52"/>
  <c r="Q195" i="52"/>
  <c r="P195" i="52"/>
  <c r="M195" i="52"/>
  <c r="W194" i="52"/>
  <c r="V194" i="52"/>
  <c r="U194" i="52"/>
  <c r="T194" i="52"/>
  <c r="R194" i="52"/>
  <c r="Q194" i="52"/>
  <c r="P194" i="52"/>
  <c r="M194" i="52"/>
  <c r="W193" i="52"/>
  <c r="V193" i="52"/>
  <c r="U193" i="52"/>
  <c r="T193" i="52"/>
  <c r="R193" i="52"/>
  <c r="Q193" i="52"/>
  <c r="P193" i="52"/>
  <c r="M193" i="52"/>
  <c r="W192" i="52"/>
  <c r="V192" i="52"/>
  <c r="U192" i="52"/>
  <c r="T192" i="52"/>
  <c r="R192" i="52"/>
  <c r="Q192" i="52"/>
  <c r="P192" i="52"/>
  <c r="M192" i="52"/>
  <c r="W191" i="52"/>
  <c r="V191" i="52"/>
  <c r="U191" i="52"/>
  <c r="T191" i="52"/>
  <c r="P191" i="52"/>
  <c r="M191" i="52"/>
  <c r="F191" i="52"/>
  <c r="R191" i="52" s="1"/>
  <c r="W190" i="52"/>
  <c r="V190" i="52"/>
  <c r="U190" i="52"/>
  <c r="T190" i="52"/>
  <c r="P190" i="52"/>
  <c r="M190" i="52"/>
  <c r="F190" i="52"/>
  <c r="R190" i="52" s="1"/>
  <c r="W189" i="52"/>
  <c r="V189" i="52"/>
  <c r="U189" i="52"/>
  <c r="T189" i="52"/>
  <c r="R189" i="52"/>
  <c r="Q189" i="52"/>
  <c r="P189" i="52"/>
  <c r="M189" i="52"/>
  <c r="W188" i="52"/>
  <c r="V188" i="52"/>
  <c r="U188" i="52"/>
  <c r="T188" i="52"/>
  <c r="R188" i="52"/>
  <c r="Q188" i="52"/>
  <c r="P188" i="52"/>
  <c r="O188" i="52"/>
  <c r="M188" i="52"/>
  <c r="W187" i="52"/>
  <c r="V187" i="52"/>
  <c r="U187" i="52"/>
  <c r="T187" i="52"/>
  <c r="R187" i="52"/>
  <c r="P187" i="52"/>
  <c r="M187" i="52"/>
  <c r="F187" i="52"/>
  <c r="Q187" i="52" s="1"/>
  <c r="W186" i="52"/>
  <c r="V186" i="52"/>
  <c r="U186" i="52"/>
  <c r="T186" i="52"/>
  <c r="R186" i="52"/>
  <c r="Q186" i="52"/>
  <c r="P186" i="52"/>
  <c r="M186" i="52"/>
  <c r="W185" i="52"/>
  <c r="V185" i="52"/>
  <c r="U185" i="52"/>
  <c r="T185" i="52"/>
  <c r="R185" i="52"/>
  <c r="Q185" i="52"/>
  <c r="P185" i="52"/>
  <c r="M185" i="52"/>
  <c r="W184" i="52"/>
  <c r="V184" i="52"/>
  <c r="U184" i="52"/>
  <c r="T184" i="52"/>
  <c r="P184" i="52"/>
  <c r="M184" i="52"/>
  <c r="F184" i="52"/>
  <c r="R184" i="52" s="1"/>
  <c r="W183" i="52"/>
  <c r="V183" i="52"/>
  <c r="U183" i="52"/>
  <c r="T183" i="52"/>
  <c r="R183" i="52"/>
  <c r="Q183" i="52"/>
  <c r="P183" i="52"/>
  <c r="M183" i="52"/>
  <c r="W182" i="52"/>
  <c r="V182" i="52"/>
  <c r="U182" i="52"/>
  <c r="T182" i="52"/>
  <c r="R182" i="52"/>
  <c r="Q182" i="52"/>
  <c r="P182" i="52"/>
  <c r="M182" i="52"/>
  <c r="W181" i="52"/>
  <c r="V181" i="52"/>
  <c r="U181" i="52"/>
  <c r="T181" i="52"/>
  <c r="P181" i="52"/>
  <c r="M181" i="52"/>
  <c r="F181" i="52"/>
  <c r="R181" i="52" s="1"/>
  <c r="W180" i="52"/>
  <c r="V180" i="52"/>
  <c r="U180" i="52"/>
  <c r="T180" i="52"/>
  <c r="R180" i="52"/>
  <c r="Q180" i="52"/>
  <c r="P180" i="52"/>
  <c r="M180" i="52"/>
  <c r="W179" i="52"/>
  <c r="V179" i="52"/>
  <c r="U179" i="52"/>
  <c r="T179" i="52"/>
  <c r="P179" i="52"/>
  <c r="M179" i="52"/>
  <c r="F179" i="52"/>
  <c r="R179" i="52" s="1"/>
  <c r="W178" i="52"/>
  <c r="V178" i="52"/>
  <c r="U178" i="52"/>
  <c r="T178" i="52"/>
  <c r="R178" i="52"/>
  <c r="Q178" i="52"/>
  <c r="P178" i="52"/>
  <c r="M178" i="52"/>
  <c r="W177" i="52"/>
  <c r="V177" i="52"/>
  <c r="U177" i="52"/>
  <c r="T177" i="52"/>
  <c r="Q177" i="52"/>
  <c r="P177" i="52"/>
  <c r="M177" i="52"/>
  <c r="F177" i="52"/>
  <c r="R177" i="52" s="1"/>
  <c r="W176" i="52"/>
  <c r="V176" i="52"/>
  <c r="U176" i="52"/>
  <c r="T176" i="52"/>
  <c r="R176" i="52"/>
  <c r="Q176" i="52"/>
  <c r="P176" i="52"/>
  <c r="M176" i="52"/>
  <c r="W175" i="52"/>
  <c r="V175" i="52"/>
  <c r="U175" i="52"/>
  <c r="T175" i="52"/>
  <c r="R175" i="52"/>
  <c r="Q175" i="52"/>
  <c r="P175" i="52"/>
  <c r="M175" i="52"/>
  <c r="W174" i="52"/>
  <c r="V174" i="52"/>
  <c r="U174" i="52"/>
  <c r="T174" i="52"/>
  <c r="R174" i="52"/>
  <c r="Q174" i="52"/>
  <c r="P174" i="52"/>
  <c r="M174" i="52"/>
  <c r="W173" i="52"/>
  <c r="V173" i="52"/>
  <c r="U173" i="52"/>
  <c r="T173" i="52"/>
  <c r="R173" i="52"/>
  <c r="Q173" i="52"/>
  <c r="P173" i="52"/>
  <c r="M173" i="52"/>
  <c r="W172" i="52"/>
  <c r="V172" i="52"/>
  <c r="U172" i="52"/>
  <c r="T172" i="52"/>
  <c r="R172" i="52"/>
  <c r="Q172" i="52"/>
  <c r="P172" i="52"/>
  <c r="M172" i="52"/>
  <c r="W171" i="52"/>
  <c r="V171" i="52"/>
  <c r="U171" i="52"/>
  <c r="T171" i="52"/>
  <c r="R171" i="52"/>
  <c r="Q171" i="52"/>
  <c r="P171" i="52"/>
  <c r="M171" i="52"/>
  <c r="W170" i="52"/>
  <c r="V170" i="52"/>
  <c r="U170" i="52"/>
  <c r="T170" i="52"/>
  <c r="R170" i="52"/>
  <c r="Q170" i="52"/>
  <c r="P170" i="52"/>
  <c r="M170" i="52"/>
  <c r="W169" i="52"/>
  <c r="V169" i="52"/>
  <c r="U169" i="52"/>
  <c r="T169" i="52"/>
  <c r="R169" i="52"/>
  <c r="Q169" i="52"/>
  <c r="P169" i="52"/>
  <c r="M169" i="52"/>
  <c r="W168" i="52"/>
  <c r="V168" i="52"/>
  <c r="U168" i="52"/>
  <c r="T168" i="52"/>
  <c r="R168" i="52"/>
  <c r="Q168" i="52"/>
  <c r="P168" i="52"/>
  <c r="M168" i="52"/>
  <c r="W167" i="52"/>
  <c r="V167" i="52"/>
  <c r="U167" i="52"/>
  <c r="T167" i="52"/>
  <c r="R167" i="52"/>
  <c r="Q167" i="52"/>
  <c r="P167" i="52"/>
  <c r="M167" i="52"/>
  <c r="W166" i="52"/>
  <c r="V166" i="52"/>
  <c r="U166" i="52"/>
  <c r="T166" i="52"/>
  <c r="R166" i="52"/>
  <c r="Q166" i="52"/>
  <c r="P166" i="52"/>
  <c r="M166" i="52"/>
  <c r="W165" i="52"/>
  <c r="V165" i="52"/>
  <c r="U165" i="52"/>
  <c r="T165" i="52"/>
  <c r="R165" i="52"/>
  <c r="Q165" i="52"/>
  <c r="P165" i="52"/>
  <c r="M165" i="52"/>
  <c r="W164" i="52"/>
  <c r="V164" i="52"/>
  <c r="U164" i="52"/>
  <c r="T164" i="52"/>
  <c r="R164" i="52"/>
  <c r="Q164" i="52"/>
  <c r="P164" i="52"/>
  <c r="M164" i="52"/>
  <c r="W163" i="52"/>
  <c r="V163" i="52"/>
  <c r="U163" i="52"/>
  <c r="T163" i="52"/>
  <c r="P163" i="52"/>
  <c r="M163" i="52"/>
  <c r="F163" i="52"/>
  <c r="R163" i="52" s="1"/>
  <c r="W162" i="52"/>
  <c r="V162" i="52"/>
  <c r="U162" i="52"/>
  <c r="T162" i="52"/>
  <c r="R162" i="52"/>
  <c r="Q162" i="52"/>
  <c r="P162" i="52"/>
  <c r="M162" i="52"/>
  <c r="W161" i="52"/>
  <c r="V161" i="52"/>
  <c r="U161" i="52"/>
  <c r="T161" i="52"/>
  <c r="R161" i="52"/>
  <c r="Q161" i="52"/>
  <c r="P161" i="52"/>
  <c r="M161" i="52"/>
  <c r="R159" i="52"/>
  <c r="Q159" i="52"/>
  <c r="R158" i="52"/>
  <c r="Q158" i="52"/>
  <c r="R157" i="52"/>
  <c r="Q157" i="52"/>
  <c r="W156" i="52"/>
  <c r="V156" i="52"/>
  <c r="U156" i="52"/>
  <c r="T156" i="52"/>
  <c r="R156" i="52"/>
  <c r="Q156" i="52"/>
  <c r="P156" i="52"/>
  <c r="M156" i="52"/>
  <c r="W155" i="52"/>
  <c r="V155" i="52"/>
  <c r="U155" i="52"/>
  <c r="T155" i="52"/>
  <c r="P155" i="52"/>
  <c r="M155" i="52"/>
  <c r="F155" i="52"/>
  <c r="R155" i="52" s="1"/>
  <c r="W154" i="52"/>
  <c r="V154" i="52"/>
  <c r="U154" i="52"/>
  <c r="T154" i="52"/>
  <c r="R154" i="52"/>
  <c r="Q154" i="52"/>
  <c r="P154" i="52"/>
  <c r="M154" i="52"/>
  <c r="W153" i="52"/>
  <c r="V153" i="52"/>
  <c r="U153" i="52"/>
  <c r="T153" i="52"/>
  <c r="R153" i="52"/>
  <c r="Q153" i="52"/>
  <c r="P153" i="52"/>
  <c r="M153" i="52"/>
  <c r="W152" i="52"/>
  <c r="V152" i="52"/>
  <c r="U152" i="52"/>
  <c r="T152" i="52"/>
  <c r="R152" i="52"/>
  <c r="Q152" i="52"/>
  <c r="P152" i="52"/>
  <c r="M152" i="52"/>
  <c r="W151" i="52"/>
  <c r="V151" i="52"/>
  <c r="U151" i="52"/>
  <c r="T151" i="52"/>
  <c r="R151" i="52"/>
  <c r="Q151" i="52"/>
  <c r="P151" i="52"/>
  <c r="W150" i="52"/>
  <c r="V150" i="52"/>
  <c r="U150" i="52"/>
  <c r="T150" i="52"/>
  <c r="R150" i="52"/>
  <c r="Q150" i="52"/>
  <c r="P150" i="52"/>
  <c r="M150" i="52"/>
  <c r="W149" i="52"/>
  <c r="V149" i="52"/>
  <c r="U149" i="52"/>
  <c r="T149" i="52"/>
  <c r="R149" i="52"/>
  <c r="Q149" i="52"/>
  <c r="P149" i="52"/>
  <c r="M149" i="52"/>
  <c r="W148" i="52"/>
  <c r="V148" i="52"/>
  <c r="U148" i="52"/>
  <c r="T148" i="52"/>
  <c r="R148" i="52"/>
  <c r="Q148" i="52"/>
  <c r="P148" i="52"/>
  <c r="M148" i="52"/>
  <c r="W147" i="52"/>
  <c r="V147" i="52"/>
  <c r="U147" i="52"/>
  <c r="T147" i="52"/>
  <c r="R147" i="52"/>
  <c r="Q147" i="52"/>
  <c r="P147" i="52"/>
  <c r="M147" i="52"/>
  <c r="W146" i="52"/>
  <c r="V146" i="52"/>
  <c r="U146" i="52"/>
  <c r="T146" i="52"/>
  <c r="R146" i="52"/>
  <c r="Q146" i="52"/>
  <c r="P146" i="52"/>
  <c r="M146" i="52"/>
  <c r="W145" i="52"/>
  <c r="V145" i="52"/>
  <c r="U145" i="52"/>
  <c r="T145" i="52"/>
  <c r="R145" i="52"/>
  <c r="Q145" i="52"/>
  <c r="P145" i="52"/>
  <c r="M145" i="52"/>
  <c r="W144" i="52"/>
  <c r="V144" i="52"/>
  <c r="U144" i="52"/>
  <c r="T144" i="52"/>
  <c r="P144" i="52"/>
  <c r="M144" i="52"/>
  <c r="F144" i="52"/>
  <c r="R144" i="52" s="1"/>
  <c r="W143" i="52"/>
  <c r="V143" i="52"/>
  <c r="U143" i="52"/>
  <c r="T143" i="52"/>
  <c r="R143" i="52"/>
  <c r="Q143" i="52"/>
  <c r="P143" i="52"/>
  <c r="M143" i="52"/>
  <c r="W142" i="52"/>
  <c r="V142" i="52"/>
  <c r="U142" i="52"/>
  <c r="T142" i="52"/>
  <c r="R142" i="52"/>
  <c r="Q142" i="52"/>
  <c r="P142" i="52"/>
  <c r="M142" i="52"/>
  <c r="W141" i="52"/>
  <c r="V141" i="52"/>
  <c r="U141" i="52"/>
  <c r="T141" i="52"/>
  <c r="R141" i="52"/>
  <c r="Q141" i="52"/>
  <c r="P141" i="52"/>
  <c r="M141" i="52"/>
  <c r="W140" i="52"/>
  <c r="V140" i="52"/>
  <c r="U140" i="52"/>
  <c r="T140" i="52"/>
  <c r="R140" i="52"/>
  <c r="Q140" i="52"/>
  <c r="P140" i="52"/>
  <c r="M140" i="52"/>
  <c r="W139" i="52"/>
  <c r="V139" i="52"/>
  <c r="U139" i="52"/>
  <c r="T139" i="52"/>
  <c r="R139" i="52"/>
  <c r="Q139" i="52"/>
  <c r="P139" i="52"/>
  <c r="M139" i="52"/>
  <c r="W138" i="52"/>
  <c r="V138" i="52"/>
  <c r="U138" i="52"/>
  <c r="T138" i="52"/>
  <c r="R138" i="52"/>
  <c r="Q138" i="52"/>
  <c r="P138" i="52"/>
  <c r="M138" i="52"/>
  <c r="W137" i="52"/>
  <c r="V137" i="52"/>
  <c r="U137" i="52"/>
  <c r="T137" i="52"/>
  <c r="R137" i="52"/>
  <c r="Q137" i="52"/>
  <c r="P137" i="52"/>
  <c r="M137" i="52"/>
  <c r="W136" i="52"/>
  <c r="V136" i="52"/>
  <c r="U136" i="52"/>
  <c r="T136" i="52"/>
  <c r="P136" i="52"/>
  <c r="M136" i="52"/>
  <c r="F136" i="52"/>
  <c r="R136" i="52" s="1"/>
  <c r="W135" i="52"/>
  <c r="V135" i="52"/>
  <c r="U135" i="52"/>
  <c r="T135" i="52"/>
  <c r="R135" i="52"/>
  <c r="Q135" i="52"/>
  <c r="P135" i="52"/>
  <c r="M135" i="52"/>
  <c r="W134" i="52"/>
  <c r="V134" i="52"/>
  <c r="U134" i="52"/>
  <c r="T134" i="52"/>
  <c r="R134" i="52"/>
  <c r="Q134" i="52"/>
  <c r="P134" i="52"/>
  <c r="M134" i="52"/>
  <c r="W133" i="52"/>
  <c r="V133" i="52"/>
  <c r="U133" i="52"/>
  <c r="T133" i="52"/>
  <c r="P133" i="52"/>
  <c r="M133" i="52"/>
  <c r="F133" i="52"/>
  <c r="R133" i="52" s="1"/>
  <c r="W132" i="52"/>
  <c r="V132" i="52"/>
  <c r="U132" i="52"/>
  <c r="T132" i="52"/>
  <c r="R132" i="52"/>
  <c r="Q132" i="52"/>
  <c r="P132" i="52"/>
  <c r="M132" i="52"/>
  <c r="W131" i="52"/>
  <c r="V131" i="52"/>
  <c r="U131" i="52"/>
  <c r="T131" i="52"/>
  <c r="P131" i="52"/>
  <c r="M131" i="52"/>
  <c r="F131" i="52"/>
  <c r="R131" i="52" s="1"/>
  <c r="W130" i="52"/>
  <c r="V130" i="52"/>
  <c r="U130" i="52"/>
  <c r="T130" i="52"/>
  <c r="R130" i="52"/>
  <c r="Q130" i="52"/>
  <c r="P130" i="52"/>
  <c r="M130" i="52"/>
  <c r="W129" i="52"/>
  <c r="V129" i="52"/>
  <c r="U129" i="52"/>
  <c r="T129" i="52"/>
  <c r="P129" i="52"/>
  <c r="F129" i="52"/>
  <c r="R129" i="52" s="1"/>
  <c r="W128" i="52"/>
  <c r="V128" i="52"/>
  <c r="U128" i="52"/>
  <c r="T128" i="52"/>
  <c r="R128" i="52"/>
  <c r="Q128" i="52"/>
  <c r="P128" i="52"/>
  <c r="M128" i="52"/>
  <c r="W127" i="52"/>
  <c r="V127" i="52"/>
  <c r="U127" i="52"/>
  <c r="T127" i="52"/>
  <c r="P127" i="52"/>
  <c r="M127" i="52"/>
  <c r="F127" i="52"/>
  <c r="R127" i="52" s="1"/>
  <c r="W126" i="52"/>
  <c r="V126" i="52"/>
  <c r="U126" i="52"/>
  <c r="T126" i="52"/>
  <c r="R126" i="52"/>
  <c r="Q126" i="52"/>
  <c r="P126" i="52"/>
  <c r="M126" i="52"/>
  <c r="W125" i="52"/>
  <c r="V125" i="52"/>
  <c r="U125" i="52"/>
  <c r="T125" i="52"/>
  <c r="P125" i="52"/>
  <c r="M125" i="52"/>
  <c r="F125" i="52"/>
  <c r="R125" i="52" s="1"/>
  <c r="W124" i="52"/>
  <c r="V124" i="52"/>
  <c r="U124" i="52"/>
  <c r="T124" i="52"/>
  <c r="P124" i="52"/>
  <c r="M124" i="52"/>
  <c r="F124" i="52"/>
  <c r="R124" i="52" s="1"/>
  <c r="W123" i="52"/>
  <c r="V123" i="52"/>
  <c r="U123" i="52"/>
  <c r="T123" i="52"/>
  <c r="R123" i="52"/>
  <c r="Q123" i="52"/>
  <c r="P123" i="52"/>
  <c r="M123" i="52"/>
  <c r="W122" i="52"/>
  <c r="V122" i="52"/>
  <c r="U122" i="52"/>
  <c r="T122" i="52"/>
  <c r="R122" i="52"/>
  <c r="Q122" i="52"/>
  <c r="P122" i="52"/>
  <c r="M122" i="52"/>
  <c r="W121" i="52"/>
  <c r="V121" i="52"/>
  <c r="U121" i="52"/>
  <c r="T121" i="52"/>
  <c r="R121" i="52"/>
  <c r="Q121" i="52"/>
  <c r="P121" i="52"/>
  <c r="M121" i="52"/>
  <c r="W120" i="52"/>
  <c r="V120" i="52"/>
  <c r="U120" i="52"/>
  <c r="T120" i="52"/>
  <c r="R120" i="52"/>
  <c r="Q120" i="52"/>
  <c r="P120" i="52"/>
  <c r="M120" i="52"/>
  <c r="W119" i="52"/>
  <c r="V119" i="52"/>
  <c r="U119" i="52"/>
  <c r="T119" i="52"/>
  <c r="R119" i="52"/>
  <c r="Q119" i="52"/>
  <c r="P119" i="52"/>
  <c r="M119" i="52"/>
  <c r="W118" i="52"/>
  <c r="V118" i="52"/>
  <c r="U118" i="52"/>
  <c r="T118" i="52"/>
  <c r="R118" i="52"/>
  <c r="Q118" i="52"/>
  <c r="P118" i="52"/>
  <c r="M118" i="52"/>
  <c r="W117" i="52"/>
  <c r="V117" i="52"/>
  <c r="U117" i="52"/>
  <c r="T117" i="52"/>
  <c r="R117" i="52"/>
  <c r="P117" i="52"/>
  <c r="M117" i="52"/>
  <c r="F117" i="52"/>
  <c r="Q117" i="52" s="1"/>
  <c r="W116" i="52"/>
  <c r="V116" i="52"/>
  <c r="U116" i="52"/>
  <c r="T116" i="52"/>
  <c r="R116" i="52"/>
  <c r="Q116" i="52"/>
  <c r="P116" i="52"/>
  <c r="M116" i="52"/>
  <c r="W115" i="52"/>
  <c r="V115" i="52"/>
  <c r="U115" i="52"/>
  <c r="T115" i="52"/>
  <c r="R115" i="52"/>
  <c r="Q115" i="52"/>
  <c r="P115" i="52"/>
  <c r="M115" i="52"/>
  <c r="W114" i="52"/>
  <c r="V114" i="52"/>
  <c r="U114" i="52"/>
  <c r="T114" i="52"/>
  <c r="Q114" i="52"/>
  <c r="P114" i="52"/>
  <c r="M114" i="52"/>
  <c r="F114" i="52"/>
  <c r="R114" i="52" s="1"/>
  <c r="W113" i="52"/>
  <c r="V113" i="52"/>
  <c r="U113" i="52"/>
  <c r="T113" i="52"/>
  <c r="P113" i="52"/>
  <c r="M113" i="52"/>
  <c r="F113" i="52"/>
  <c r="R113" i="52" s="1"/>
  <c r="W112" i="52"/>
  <c r="V112" i="52"/>
  <c r="U112" i="52"/>
  <c r="T112" i="52"/>
  <c r="R112" i="52"/>
  <c r="Q112" i="52"/>
  <c r="P112" i="52"/>
  <c r="M112" i="52"/>
  <c r="W111" i="52"/>
  <c r="V111" i="52"/>
  <c r="U111" i="52"/>
  <c r="T111" i="52"/>
  <c r="R111" i="52"/>
  <c r="Q111" i="52"/>
  <c r="P111" i="52"/>
  <c r="M111" i="52"/>
  <c r="W110" i="52"/>
  <c r="V110" i="52"/>
  <c r="U110" i="52"/>
  <c r="T110" i="52"/>
  <c r="P110" i="52"/>
  <c r="M110" i="52"/>
  <c r="F110" i="52"/>
  <c r="R110" i="52" s="1"/>
  <c r="W109" i="52"/>
  <c r="V109" i="52"/>
  <c r="U109" i="52"/>
  <c r="T109" i="52"/>
  <c r="R109" i="52"/>
  <c r="Q109" i="52"/>
  <c r="P109" i="52"/>
  <c r="M109" i="52"/>
  <c r="W108" i="52"/>
  <c r="V108" i="52"/>
  <c r="U108" i="52"/>
  <c r="T108" i="52"/>
  <c r="P108" i="52"/>
  <c r="M108" i="52"/>
  <c r="F108" i="52"/>
  <c r="R108" i="52" s="1"/>
  <c r="W107" i="52"/>
  <c r="V107" i="52"/>
  <c r="U107" i="52"/>
  <c r="T107" i="52"/>
  <c r="P107" i="52"/>
  <c r="M107" i="52"/>
  <c r="R107" i="52"/>
  <c r="W106" i="52"/>
  <c r="V106" i="52"/>
  <c r="U106" i="52"/>
  <c r="T106" i="52"/>
  <c r="P106" i="52"/>
  <c r="M106" i="52"/>
  <c r="F106" i="52"/>
  <c r="R106" i="52" s="1"/>
  <c r="W105" i="52"/>
  <c r="V105" i="52"/>
  <c r="U105" i="52"/>
  <c r="T105" i="52"/>
  <c r="R105" i="52"/>
  <c r="Q105" i="52"/>
  <c r="P105" i="52"/>
  <c r="M105" i="52"/>
  <c r="W104" i="52"/>
  <c r="V104" i="52"/>
  <c r="U104" i="52"/>
  <c r="T104" i="52"/>
  <c r="R104" i="52"/>
  <c r="Q104" i="52"/>
  <c r="P104" i="52"/>
  <c r="M104" i="52"/>
  <c r="W103" i="52"/>
  <c r="V103" i="52"/>
  <c r="U103" i="52"/>
  <c r="T103" i="52"/>
  <c r="P103" i="52"/>
  <c r="M103" i="52"/>
  <c r="F103" i="52"/>
  <c r="R103" i="52" s="1"/>
  <c r="U102" i="52"/>
  <c r="F102" i="52"/>
  <c r="R102" i="52" s="1"/>
  <c r="U101" i="52"/>
  <c r="R101" i="52"/>
  <c r="Q101" i="52"/>
  <c r="U100" i="52"/>
  <c r="F100" i="52"/>
  <c r="R100" i="52" s="1"/>
  <c r="U99" i="52"/>
  <c r="M99" i="52"/>
  <c r="F99" i="52"/>
  <c r="R99" i="52" s="1"/>
  <c r="W98" i="52"/>
  <c r="V98" i="52"/>
  <c r="U98" i="52"/>
  <c r="T98" i="52"/>
  <c r="R98" i="52"/>
  <c r="P98" i="52"/>
  <c r="M98" i="52"/>
  <c r="F98" i="52"/>
  <c r="Q98" i="52" s="1"/>
  <c r="W97" i="52"/>
  <c r="V97" i="52"/>
  <c r="U97" i="52"/>
  <c r="T97" i="52"/>
  <c r="P97" i="52"/>
  <c r="M97" i="52"/>
  <c r="F97" i="52"/>
  <c r="R97" i="52" s="1"/>
  <c r="W96" i="52"/>
  <c r="V96" i="52"/>
  <c r="U96" i="52"/>
  <c r="T96" i="52"/>
  <c r="R96" i="52"/>
  <c r="Q96" i="52"/>
  <c r="P96" i="52"/>
  <c r="M96" i="52"/>
  <c r="W95" i="52"/>
  <c r="V95" i="52"/>
  <c r="U95" i="52"/>
  <c r="T95" i="52"/>
  <c r="R95" i="52"/>
  <c r="Q95" i="52"/>
  <c r="P95" i="52"/>
  <c r="M95" i="52"/>
  <c r="W94" i="52"/>
  <c r="V94" i="52"/>
  <c r="U94" i="52"/>
  <c r="T94" i="52"/>
  <c r="R94" i="52"/>
  <c r="Q94" i="52"/>
  <c r="P94" i="52"/>
  <c r="M94" i="52"/>
  <c r="W93" i="52"/>
  <c r="V93" i="52"/>
  <c r="U93" i="52"/>
  <c r="T93" i="52"/>
  <c r="R93" i="52"/>
  <c r="Q93" i="52"/>
  <c r="P93" i="52"/>
  <c r="M93" i="52"/>
  <c r="W92" i="52"/>
  <c r="V92" i="52"/>
  <c r="U92" i="52"/>
  <c r="T92" i="52"/>
  <c r="R92" i="52"/>
  <c r="Q92" i="52"/>
  <c r="P92" i="52"/>
  <c r="M92" i="52"/>
  <c r="W91" i="52"/>
  <c r="V91" i="52"/>
  <c r="U91" i="52"/>
  <c r="T91" i="52"/>
  <c r="R91" i="52"/>
  <c r="Q91" i="52"/>
  <c r="P91" i="52"/>
  <c r="M91" i="52"/>
  <c r="W90" i="52"/>
  <c r="V90" i="52"/>
  <c r="U90" i="52"/>
  <c r="T90" i="52"/>
  <c r="P90" i="52"/>
  <c r="M90" i="52"/>
  <c r="F90" i="52"/>
  <c r="R90" i="52" s="1"/>
  <c r="W89" i="52"/>
  <c r="V89" i="52"/>
  <c r="U89" i="52"/>
  <c r="T89" i="52"/>
  <c r="R89" i="52"/>
  <c r="Q89" i="52"/>
  <c r="P89" i="52"/>
  <c r="M89" i="52"/>
  <c r="W88" i="52"/>
  <c r="V88" i="52"/>
  <c r="U88" i="52"/>
  <c r="T88" i="52"/>
  <c r="P88" i="52"/>
  <c r="M88" i="52"/>
  <c r="F88" i="52"/>
  <c r="R88" i="52" s="1"/>
  <c r="W87" i="52"/>
  <c r="V87" i="52"/>
  <c r="U87" i="52"/>
  <c r="T87" i="52"/>
  <c r="P87" i="52"/>
  <c r="M87" i="52"/>
  <c r="F87" i="52"/>
  <c r="Q87" i="52" s="1"/>
  <c r="W86" i="52"/>
  <c r="V86" i="52"/>
  <c r="U86" i="52"/>
  <c r="T86" i="52"/>
  <c r="P86" i="52"/>
  <c r="M86" i="52"/>
  <c r="F86" i="52"/>
  <c r="R86" i="52" s="1"/>
  <c r="W85" i="52"/>
  <c r="V85" i="52"/>
  <c r="U85" i="52"/>
  <c r="T85" i="52"/>
  <c r="P85" i="52"/>
  <c r="M85" i="52"/>
  <c r="F85" i="52"/>
  <c r="Q85" i="52" s="1"/>
  <c r="W84" i="52"/>
  <c r="V84" i="52"/>
  <c r="U84" i="52"/>
  <c r="T84" i="52"/>
  <c r="P84" i="52"/>
  <c r="M84" i="52"/>
  <c r="F84" i="52"/>
  <c r="R84" i="52" s="1"/>
  <c r="W83" i="52"/>
  <c r="V83" i="52"/>
  <c r="U83" i="52"/>
  <c r="T83" i="52"/>
  <c r="R83" i="52"/>
  <c r="Q83" i="52"/>
  <c r="P83" i="52"/>
  <c r="M83" i="52"/>
  <c r="W82" i="52"/>
  <c r="V82" i="52"/>
  <c r="U82" i="52"/>
  <c r="T82" i="52"/>
  <c r="P82" i="52"/>
  <c r="M82" i="52"/>
  <c r="F82" i="52"/>
  <c r="R82" i="52" s="1"/>
  <c r="W81" i="52"/>
  <c r="V81" i="52"/>
  <c r="U81" i="52"/>
  <c r="T81" i="52"/>
  <c r="P81" i="52"/>
  <c r="M81" i="52"/>
  <c r="F81" i="52"/>
  <c r="R81" i="52" s="1"/>
  <c r="W80" i="52"/>
  <c r="V80" i="52"/>
  <c r="U80" i="52"/>
  <c r="T80" i="52"/>
  <c r="R80" i="52"/>
  <c r="Q80" i="52"/>
  <c r="P80" i="52"/>
  <c r="M80" i="52"/>
  <c r="W79" i="52"/>
  <c r="V79" i="52"/>
  <c r="U79" i="52"/>
  <c r="T79" i="52"/>
  <c r="Q79" i="52"/>
  <c r="P79" i="52"/>
  <c r="M79" i="52"/>
  <c r="F79" i="52"/>
  <c r="R79" i="52" s="1"/>
  <c r="W78" i="52"/>
  <c r="V78" i="52"/>
  <c r="U78" i="52"/>
  <c r="T78" i="52"/>
  <c r="P78" i="52"/>
  <c r="M78" i="52"/>
  <c r="F78" i="52"/>
  <c r="R78" i="52" s="1"/>
  <c r="W77" i="52"/>
  <c r="V77" i="52"/>
  <c r="U77" i="52"/>
  <c r="T77" i="52"/>
  <c r="R77" i="52"/>
  <c r="Q77" i="52"/>
  <c r="P77" i="52"/>
  <c r="M77" i="52"/>
  <c r="W76" i="52"/>
  <c r="V76" i="52"/>
  <c r="U76" i="52"/>
  <c r="T76" i="52"/>
  <c r="P76" i="52"/>
  <c r="M76" i="52"/>
  <c r="F76" i="52"/>
  <c r="Q76" i="52" s="1"/>
  <c r="W75" i="52"/>
  <c r="V75" i="52"/>
  <c r="U75" i="52"/>
  <c r="T75" i="52"/>
  <c r="P75" i="52"/>
  <c r="M75" i="52"/>
  <c r="F75" i="52"/>
  <c r="R75" i="52" s="1"/>
  <c r="W74" i="52"/>
  <c r="V74" i="52"/>
  <c r="U74" i="52"/>
  <c r="T74" i="52"/>
  <c r="R74" i="52"/>
  <c r="Q74" i="52"/>
  <c r="P74" i="52"/>
  <c r="M74" i="52"/>
  <c r="W73" i="52"/>
  <c r="V73" i="52"/>
  <c r="U73" i="52"/>
  <c r="T73" i="52"/>
  <c r="P73" i="52"/>
  <c r="M73" i="52"/>
  <c r="F73" i="52"/>
  <c r="R73" i="52" s="1"/>
  <c r="W72" i="52"/>
  <c r="V72" i="52"/>
  <c r="U72" i="52"/>
  <c r="T72" i="52"/>
  <c r="R72" i="52"/>
  <c r="Q72" i="52"/>
  <c r="P72" i="52"/>
  <c r="M72" i="52"/>
  <c r="W71" i="52"/>
  <c r="V71" i="52"/>
  <c r="U71" i="52"/>
  <c r="T71" i="52"/>
  <c r="P71" i="52"/>
  <c r="M71" i="52"/>
  <c r="F71" i="52"/>
  <c r="R71" i="52" s="1"/>
  <c r="W70" i="52"/>
  <c r="V70" i="52"/>
  <c r="U70" i="52"/>
  <c r="T70" i="52"/>
  <c r="P70" i="52"/>
  <c r="M70" i="52"/>
  <c r="F70" i="52"/>
  <c r="R70" i="52" s="1"/>
  <c r="W69" i="52"/>
  <c r="V69" i="52"/>
  <c r="U69" i="52"/>
  <c r="T69" i="52"/>
  <c r="R69" i="52"/>
  <c r="Q69" i="52"/>
  <c r="P69" i="52"/>
  <c r="M69" i="52"/>
  <c r="W68" i="52"/>
  <c r="V68" i="52"/>
  <c r="U68" i="52"/>
  <c r="T68" i="52"/>
  <c r="R68" i="52"/>
  <c r="Q68" i="52"/>
  <c r="P68" i="52"/>
  <c r="M68" i="52"/>
  <c r="W67" i="52"/>
  <c r="V67" i="52"/>
  <c r="U67" i="52"/>
  <c r="T67" i="52"/>
  <c r="P67" i="52"/>
  <c r="M67" i="52"/>
  <c r="F67" i="52"/>
  <c r="Q67" i="52" s="1"/>
  <c r="W66" i="52"/>
  <c r="V66" i="52"/>
  <c r="U66" i="52"/>
  <c r="T66" i="52"/>
  <c r="R66" i="52"/>
  <c r="Q66" i="52"/>
  <c r="P66" i="52"/>
  <c r="M66" i="52"/>
  <c r="W65" i="52"/>
  <c r="V65" i="52"/>
  <c r="U65" i="52"/>
  <c r="T65" i="52"/>
  <c r="P65" i="52"/>
  <c r="M65" i="52"/>
  <c r="F65" i="52"/>
  <c r="R65" i="52" s="1"/>
  <c r="W64" i="52"/>
  <c r="V64" i="52"/>
  <c r="U64" i="52"/>
  <c r="T64" i="52"/>
  <c r="P64" i="52"/>
  <c r="M64" i="52"/>
  <c r="F64" i="52"/>
  <c r="R64" i="52" s="1"/>
  <c r="W63" i="52"/>
  <c r="V63" i="52"/>
  <c r="U63" i="52"/>
  <c r="T63" i="52"/>
  <c r="P63" i="52"/>
  <c r="M63" i="52"/>
  <c r="F63" i="52"/>
  <c r="R63" i="52" s="1"/>
  <c r="W62" i="52"/>
  <c r="V62" i="52"/>
  <c r="U62" i="52"/>
  <c r="T62" i="52"/>
  <c r="R62" i="52"/>
  <c r="Q62" i="52"/>
  <c r="P62" i="52"/>
  <c r="M62" i="52"/>
  <c r="W61" i="52"/>
  <c r="V61" i="52"/>
  <c r="U61" i="52"/>
  <c r="T61" i="52"/>
  <c r="R61" i="52"/>
  <c r="Q61" i="52"/>
  <c r="P61" i="52"/>
  <c r="M61" i="52"/>
  <c r="W60" i="52"/>
  <c r="V60" i="52"/>
  <c r="U60" i="52"/>
  <c r="T60" i="52"/>
  <c r="R60" i="52"/>
  <c r="Q60" i="52"/>
  <c r="P60" i="52"/>
  <c r="M60" i="52"/>
  <c r="W59" i="52"/>
  <c r="V59" i="52"/>
  <c r="U59" i="52"/>
  <c r="T59" i="52"/>
  <c r="P59" i="52"/>
  <c r="M59" i="52"/>
  <c r="F59" i="52"/>
  <c r="R59" i="52" s="1"/>
  <c r="W58" i="52"/>
  <c r="V58" i="52"/>
  <c r="U58" i="52"/>
  <c r="T58" i="52"/>
  <c r="R58" i="52"/>
  <c r="Q58" i="52"/>
  <c r="P58" i="52"/>
  <c r="M58" i="52"/>
  <c r="W57" i="52"/>
  <c r="V57" i="52"/>
  <c r="U57" i="52"/>
  <c r="T57" i="52"/>
  <c r="R57" i="52"/>
  <c r="Q57" i="52"/>
  <c r="P57" i="52"/>
  <c r="M57" i="52"/>
  <c r="W56" i="52"/>
  <c r="V56" i="52"/>
  <c r="U56" i="52"/>
  <c r="T56" i="52"/>
  <c r="R56" i="52"/>
  <c r="Q56" i="52"/>
  <c r="P56" i="52"/>
  <c r="M56" i="52"/>
  <c r="W55" i="52"/>
  <c r="V55" i="52"/>
  <c r="U55" i="52"/>
  <c r="T55" i="52"/>
  <c r="R55" i="52"/>
  <c r="Q55" i="52"/>
  <c r="P55" i="52"/>
  <c r="M55" i="52"/>
  <c r="W54" i="52"/>
  <c r="V54" i="52"/>
  <c r="U54" i="52"/>
  <c r="T54" i="52"/>
  <c r="P54" i="52"/>
  <c r="M54" i="52"/>
  <c r="F54" i="52"/>
  <c r="Q54" i="52" s="1"/>
  <c r="W53" i="52"/>
  <c r="V53" i="52"/>
  <c r="U53" i="52"/>
  <c r="T53" i="52"/>
  <c r="R53" i="52"/>
  <c r="Q53" i="52"/>
  <c r="P53" i="52"/>
  <c r="M53" i="52"/>
  <c r="W52" i="52"/>
  <c r="V52" i="52"/>
  <c r="U52" i="52"/>
  <c r="T52" i="52"/>
  <c r="Q52" i="52"/>
  <c r="P52" i="52"/>
  <c r="M52" i="52"/>
  <c r="R52" i="52"/>
  <c r="W51" i="52"/>
  <c r="V51" i="52"/>
  <c r="U51" i="52"/>
  <c r="T51" i="52"/>
  <c r="R51" i="52"/>
  <c r="Q51" i="52"/>
  <c r="P51" i="52"/>
  <c r="M51" i="52"/>
  <c r="W50" i="52"/>
  <c r="V50" i="52"/>
  <c r="U50" i="52"/>
  <c r="T50" i="52"/>
  <c r="R50" i="52"/>
  <c r="Q50" i="52"/>
  <c r="P50" i="52"/>
  <c r="M50" i="52"/>
  <c r="W49" i="52"/>
  <c r="V49" i="52"/>
  <c r="U49" i="52"/>
  <c r="T49" i="52"/>
  <c r="P49" i="52"/>
  <c r="M49" i="52"/>
  <c r="F49" i="52"/>
  <c r="R49" i="52" s="1"/>
  <c r="W48" i="52"/>
  <c r="V48" i="52"/>
  <c r="U48" i="52"/>
  <c r="T48" i="52"/>
  <c r="Q48" i="52"/>
  <c r="P48" i="52"/>
  <c r="M48" i="52"/>
  <c r="F48" i="52"/>
  <c r="R48" i="52" s="1"/>
  <c r="W47" i="52"/>
  <c r="V47" i="52"/>
  <c r="U47" i="52"/>
  <c r="T47" i="52"/>
  <c r="R47" i="52"/>
  <c r="Q47" i="52"/>
  <c r="P47" i="52"/>
  <c r="M47" i="52"/>
  <c r="W46" i="52"/>
  <c r="V46" i="52"/>
  <c r="U46" i="52"/>
  <c r="T46" i="52"/>
  <c r="P46" i="52"/>
  <c r="M46" i="52"/>
  <c r="F46" i="52"/>
  <c r="R46" i="52" s="1"/>
  <c r="W45" i="52"/>
  <c r="V45" i="52"/>
  <c r="U45" i="52"/>
  <c r="T45" i="52"/>
  <c r="R45" i="52"/>
  <c r="Q45" i="52"/>
  <c r="P45" i="52"/>
  <c r="M45" i="52"/>
  <c r="W44" i="52"/>
  <c r="V44" i="52"/>
  <c r="U44" i="52"/>
  <c r="T44" i="52"/>
  <c r="P44" i="52"/>
  <c r="M44" i="52"/>
  <c r="R44" i="52"/>
  <c r="W43" i="52"/>
  <c r="V43" i="52"/>
  <c r="U43" i="52"/>
  <c r="T43" i="52"/>
  <c r="P43" i="52"/>
  <c r="M43" i="52"/>
  <c r="F43" i="52"/>
  <c r="R43" i="52" s="1"/>
  <c r="W42" i="52"/>
  <c r="V42" i="52"/>
  <c r="U42" i="52"/>
  <c r="T42" i="52"/>
  <c r="P42" i="52"/>
  <c r="M42" i="52"/>
  <c r="F42" i="52"/>
  <c r="R42" i="52" s="1"/>
  <c r="W41" i="52"/>
  <c r="V41" i="52"/>
  <c r="U41" i="52"/>
  <c r="T41" i="52"/>
  <c r="P41" i="52"/>
  <c r="M41" i="52"/>
  <c r="F41" i="52"/>
  <c r="Q41" i="52" s="1"/>
  <c r="W40" i="52"/>
  <c r="V40" i="52"/>
  <c r="U40" i="52"/>
  <c r="T40" i="52"/>
  <c r="P40" i="52"/>
  <c r="M40" i="52"/>
  <c r="F40" i="52"/>
  <c r="R40" i="52" s="1"/>
  <c r="W39" i="52"/>
  <c r="V39" i="52"/>
  <c r="U39" i="52"/>
  <c r="T39" i="52"/>
  <c r="R39" i="52"/>
  <c r="Q39" i="52"/>
  <c r="P39" i="52"/>
  <c r="M39" i="52"/>
  <c r="W38" i="52"/>
  <c r="V38" i="52"/>
  <c r="U38" i="52"/>
  <c r="T38" i="52"/>
  <c r="P38" i="52"/>
  <c r="M38" i="52"/>
  <c r="R38" i="52"/>
  <c r="E38" i="52"/>
  <c r="W37" i="52"/>
  <c r="V37" i="52"/>
  <c r="U37" i="52"/>
  <c r="T37" i="52"/>
  <c r="P37" i="52"/>
  <c r="M37" i="52"/>
  <c r="F37" i="52"/>
  <c r="R37" i="52" s="1"/>
  <c r="W36" i="52"/>
  <c r="V36" i="52"/>
  <c r="U36" i="52"/>
  <c r="T36" i="52"/>
  <c r="P36" i="52"/>
  <c r="M36" i="52"/>
  <c r="F36" i="52"/>
  <c r="R36" i="52" s="1"/>
  <c r="W35" i="52"/>
  <c r="V35" i="52"/>
  <c r="U35" i="52"/>
  <c r="T35" i="52"/>
  <c r="R35" i="52"/>
  <c r="Q35" i="52"/>
  <c r="P35" i="52"/>
  <c r="M35" i="52"/>
  <c r="W34" i="52"/>
  <c r="V34" i="52"/>
  <c r="U34" i="52"/>
  <c r="T34" i="52"/>
  <c r="R34" i="52"/>
  <c r="Q34" i="52"/>
  <c r="P34" i="52"/>
  <c r="M34" i="52"/>
  <c r="W33" i="52"/>
  <c r="V33" i="52"/>
  <c r="U33" i="52"/>
  <c r="T33" i="52"/>
  <c r="R33" i="52"/>
  <c r="Q33" i="52"/>
  <c r="P33" i="52"/>
  <c r="M33" i="52"/>
  <c r="W32" i="52"/>
  <c r="V32" i="52"/>
  <c r="U32" i="52"/>
  <c r="T32" i="52"/>
  <c r="P32" i="52"/>
  <c r="M32" i="52"/>
  <c r="F32" i="52"/>
  <c r="R32" i="52" s="1"/>
  <c r="W31" i="52"/>
  <c r="V31" i="52"/>
  <c r="U31" i="52"/>
  <c r="T31" i="52"/>
  <c r="P31" i="52"/>
  <c r="M31" i="52"/>
  <c r="R31" i="52"/>
  <c r="W30" i="52"/>
  <c r="V30" i="52"/>
  <c r="U30" i="52"/>
  <c r="T30" i="52"/>
  <c r="P30" i="52"/>
  <c r="M30" i="52"/>
  <c r="F30" i="52"/>
  <c r="R30" i="52" s="1"/>
  <c r="W29" i="52"/>
  <c r="V29" i="52"/>
  <c r="U29" i="52"/>
  <c r="T29" i="52"/>
  <c r="P29" i="52"/>
  <c r="M29" i="52"/>
  <c r="R29" i="52"/>
  <c r="W28" i="52"/>
  <c r="V28" i="52"/>
  <c r="U28" i="52"/>
  <c r="T28" i="52"/>
  <c r="P28" i="52"/>
  <c r="M28" i="52"/>
  <c r="R28" i="52"/>
  <c r="W27" i="52"/>
  <c r="V27" i="52"/>
  <c r="U27" i="52"/>
  <c r="T27" i="52"/>
  <c r="P27" i="52"/>
  <c r="M27" i="52"/>
  <c r="F27" i="52"/>
  <c r="R27" i="52" s="1"/>
  <c r="W26" i="52"/>
  <c r="V26" i="52"/>
  <c r="U26" i="52"/>
  <c r="T26" i="52"/>
  <c r="P26" i="52"/>
  <c r="M26" i="52"/>
  <c r="F26" i="52"/>
  <c r="Q26" i="52" s="1"/>
  <c r="W25" i="52"/>
  <c r="V25" i="52"/>
  <c r="U25" i="52"/>
  <c r="T25" i="52"/>
  <c r="P25" i="52"/>
  <c r="M25" i="52"/>
  <c r="F25" i="52"/>
  <c r="R25" i="52" s="1"/>
  <c r="W24" i="52"/>
  <c r="V24" i="52"/>
  <c r="U24" i="52"/>
  <c r="T24" i="52"/>
  <c r="Q24" i="52"/>
  <c r="P24" i="52"/>
  <c r="M24" i="52"/>
  <c r="R24" i="52"/>
  <c r="W23" i="52"/>
  <c r="V23" i="52"/>
  <c r="U23" i="52"/>
  <c r="T23" i="52"/>
  <c r="P23" i="52"/>
  <c r="M23" i="52"/>
  <c r="F23" i="52"/>
  <c r="R23" i="52" s="1"/>
  <c r="W22" i="52"/>
  <c r="V22" i="52"/>
  <c r="U22" i="52"/>
  <c r="T22" i="52"/>
  <c r="P22" i="52"/>
  <c r="M22" i="52"/>
  <c r="F22" i="52"/>
  <c r="R22" i="52" s="1"/>
  <c r="W21" i="52"/>
  <c r="V21" i="52"/>
  <c r="U21" i="52"/>
  <c r="T21" i="52"/>
  <c r="P21" i="52"/>
  <c r="M21" i="52"/>
  <c r="R21" i="52"/>
  <c r="W20" i="52"/>
  <c r="V20" i="52"/>
  <c r="U20" i="52"/>
  <c r="T20" i="52"/>
  <c r="Q20" i="52"/>
  <c r="P20" i="52"/>
  <c r="M20" i="52"/>
  <c r="F20" i="52"/>
  <c r="R20" i="52" s="1"/>
  <c r="W19" i="52"/>
  <c r="V19" i="52"/>
  <c r="U19" i="52"/>
  <c r="T19" i="52"/>
  <c r="P19" i="52"/>
  <c r="R19" i="52"/>
  <c r="W18" i="52"/>
  <c r="V18" i="52"/>
  <c r="U18" i="52"/>
  <c r="T18" i="52"/>
  <c r="Q18" i="52"/>
  <c r="P18" i="52"/>
  <c r="R18" i="52"/>
  <c r="W17" i="52"/>
  <c r="V17" i="52"/>
  <c r="U17" i="52"/>
  <c r="T17" i="52"/>
  <c r="R17" i="52"/>
  <c r="Q17" i="52"/>
  <c r="P17" i="52"/>
  <c r="M17" i="52"/>
  <c r="W16" i="52"/>
  <c r="V16" i="52"/>
  <c r="U16" i="52"/>
  <c r="T16" i="52"/>
  <c r="P16" i="52"/>
  <c r="M16" i="52"/>
  <c r="F16" i="52"/>
  <c r="R16" i="52" s="1"/>
  <c r="W15" i="52"/>
  <c r="V15" i="52"/>
  <c r="U15" i="52"/>
  <c r="T15" i="52"/>
  <c r="R15" i="52"/>
  <c r="Q15" i="52"/>
  <c r="P15" i="52"/>
  <c r="M15" i="52"/>
  <c r="W14" i="52"/>
  <c r="V14" i="52"/>
  <c r="U14" i="52"/>
  <c r="T14" i="52"/>
  <c r="P14" i="52"/>
  <c r="M14" i="52"/>
  <c r="R14" i="52"/>
  <c r="W13" i="52"/>
  <c r="V13" i="52"/>
  <c r="U13" i="52"/>
  <c r="T13" i="52"/>
  <c r="P13" i="52"/>
  <c r="M13" i="52"/>
  <c r="Q13" i="52"/>
  <c r="W12" i="52"/>
  <c r="V12" i="52"/>
  <c r="U12" i="52"/>
  <c r="T12" i="52"/>
  <c r="P12" i="52"/>
  <c r="M12" i="52"/>
  <c r="F12" i="52"/>
  <c r="R12" i="52" s="1"/>
  <c r="W11" i="52"/>
  <c r="V11" i="52"/>
  <c r="U11" i="52"/>
  <c r="T11" i="52"/>
  <c r="P11" i="52"/>
  <c r="M11" i="52"/>
  <c r="F11" i="52"/>
  <c r="Q11" i="52" s="1"/>
  <c r="W10" i="52"/>
  <c r="V10" i="52"/>
  <c r="U10" i="52"/>
  <c r="T10" i="52"/>
  <c r="R10" i="52"/>
  <c r="Q10" i="52"/>
  <c r="P10" i="52"/>
  <c r="M10" i="52"/>
  <c r="W9" i="52"/>
  <c r="V9" i="52"/>
  <c r="U9" i="52"/>
  <c r="T9" i="52"/>
  <c r="R9" i="52"/>
  <c r="Q9" i="52"/>
  <c r="P9" i="52"/>
  <c r="M9" i="52"/>
  <c r="W8" i="52"/>
  <c r="V8" i="52"/>
  <c r="U8" i="52"/>
  <c r="T8" i="52"/>
  <c r="P8" i="52"/>
  <c r="M8" i="52"/>
  <c r="F8" i="52"/>
  <c r="R8" i="52" s="1"/>
  <c r="W7" i="52"/>
  <c r="V7" i="52"/>
  <c r="U7" i="52"/>
  <c r="T7" i="52"/>
  <c r="P7" i="52"/>
  <c r="M7" i="52"/>
  <c r="F7" i="52"/>
  <c r="R7" i="52" s="1"/>
  <c r="R26" i="52" l="1"/>
  <c r="Q133" i="52"/>
  <c r="Q249" i="52"/>
  <c r="Q273" i="52"/>
  <c r="Q564" i="52"/>
  <c r="R567" i="52"/>
  <c r="R85" i="52"/>
  <c r="Q228" i="52"/>
  <c r="Q792" i="52"/>
  <c r="R41" i="52"/>
  <c r="R775" i="52"/>
  <c r="R827" i="52"/>
  <c r="R76" i="52"/>
  <c r="R87" i="52"/>
  <c r="Q155" i="52"/>
  <c r="R253" i="52"/>
  <c r="Q32" i="52"/>
  <c r="R594" i="52"/>
  <c r="Q805" i="52"/>
  <c r="R591" i="52"/>
  <c r="Q649" i="52"/>
  <c r="R788" i="52"/>
  <c r="Q582" i="52"/>
  <c r="Q635" i="52"/>
  <c r="Q797" i="52"/>
  <c r="R822" i="52"/>
  <c r="R67" i="52"/>
  <c r="Q70" i="52"/>
  <c r="R348" i="52"/>
  <c r="Q651" i="52"/>
  <c r="Q267" i="52"/>
  <c r="R337" i="52"/>
  <c r="Q636" i="52"/>
  <c r="R256" i="52"/>
  <c r="Q258" i="52"/>
  <c r="Q30" i="52"/>
  <c r="Q548" i="52"/>
  <c r="Q612" i="52"/>
  <c r="R197" i="52"/>
  <c r="Q323" i="52"/>
  <c r="Q351" i="52"/>
  <c r="Q374" i="52"/>
  <c r="Q241" i="52"/>
  <c r="R277" i="52"/>
  <c r="R826" i="52"/>
  <c r="Q65" i="52"/>
  <c r="R334" i="52"/>
  <c r="R506" i="52"/>
  <c r="Q184" i="52"/>
  <c r="R322" i="52"/>
  <c r="Q63" i="52"/>
  <c r="Q88" i="52"/>
  <c r="Q102" i="52"/>
  <c r="Q196" i="52"/>
  <c r="R282" i="52"/>
  <c r="Q306" i="52"/>
  <c r="Q496" i="52"/>
  <c r="R511" i="52"/>
  <c r="Q514" i="52"/>
  <c r="Q557" i="52"/>
  <c r="Q624" i="52"/>
  <c r="R11" i="52"/>
  <c r="Q14" i="52"/>
  <c r="Q38" i="52"/>
  <c r="R54" i="52"/>
  <c r="Q75" i="52"/>
  <c r="Q107" i="52"/>
  <c r="Q110" i="52"/>
  <c r="Q125" i="52"/>
  <c r="Q250" i="52"/>
  <c r="E259" i="52"/>
  <c r="Q259" i="52" s="1"/>
  <c r="Q310" i="52"/>
  <c r="Q376" i="52"/>
  <c r="R508" i="52"/>
  <c r="Q618" i="52"/>
  <c r="Q81" i="52"/>
  <c r="Q84" i="52"/>
  <c r="Q361" i="52"/>
  <c r="Q596" i="52"/>
  <c r="Q272" i="52"/>
  <c r="Q279" i="52"/>
  <c r="R492" i="52"/>
  <c r="Q528" i="52"/>
  <c r="Q626" i="52"/>
  <c r="Q806" i="52"/>
  <c r="Q7" i="52"/>
  <c r="R13" i="52"/>
  <c r="Q90" i="52"/>
  <c r="Q103" i="52"/>
  <c r="R369" i="52"/>
  <c r="Q372" i="52"/>
  <c r="Q388" i="52"/>
  <c r="R516" i="52"/>
  <c r="Q601" i="52"/>
  <c r="Q16" i="52"/>
  <c r="Q127" i="52"/>
  <c r="Q191" i="52"/>
  <c r="Q252" i="52"/>
  <c r="Q255" i="52"/>
  <c r="Q606" i="52"/>
  <c r="Q22" i="52"/>
  <c r="Q28" i="52"/>
  <c r="Q37" i="52"/>
  <c r="Q43" i="52"/>
  <c r="Q46" i="52"/>
  <c r="Q86" i="52"/>
  <c r="Q144" i="52"/>
  <c r="Q181" i="52"/>
  <c r="Q261" i="52"/>
  <c r="Q291" i="52"/>
  <c r="Q335" i="52"/>
  <c r="Q350" i="52"/>
  <c r="Q608" i="52"/>
  <c r="Q628" i="52"/>
  <c r="Q12" i="52"/>
  <c r="Q616" i="52"/>
  <c r="Q179" i="52"/>
  <c r="Q100" i="52"/>
  <c r="Q418" i="52"/>
  <c r="Q434" i="52"/>
  <c r="Q436" i="52"/>
  <c r="Q438" i="52"/>
  <c r="Q440" i="52"/>
  <c r="Q449" i="52"/>
  <c r="Q451" i="52"/>
  <c r="Q453" i="52"/>
  <c r="Q455" i="52"/>
  <c r="Q457" i="52"/>
  <c r="Q459" i="52"/>
  <c r="Q461" i="52"/>
  <c r="Q463" i="52"/>
  <c r="Q268" i="52"/>
  <c r="Q280" i="52"/>
  <c r="Q325" i="52"/>
  <c r="Q338" i="52"/>
  <c r="Q409" i="52"/>
  <c r="Q19" i="52"/>
  <c r="Q23" i="52"/>
  <c r="Q27" i="52"/>
  <c r="Q31" i="52"/>
  <c r="Q42" i="52"/>
  <c r="Q73" i="52"/>
  <c r="Q106" i="52"/>
  <c r="Q113" i="52"/>
  <c r="Q136" i="52"/>
  <c r="Q198" i="52"/>
  <c r="Q240" i="52"/>
  <c r="Q254" i="52"/>
  <c r="Q301" i="52"/>
  <c r="Q344" i="52"/>
  <c r="Q373" i="52"/>
  <c r="Q377" i="52"/>
  <c r="Q505" i="52"/>
  <c r="Q563" i="52"/>
  <c r="Q583" i="52"/>
  <c r="Q592" i="52"/>
  <c r="Q599" i="52"/>
  <c r="Q605" i="52"/>
  <c r="Q611" i="52"/>
  <c r="Q614" i="52"/>
  <c r="Q627" i="52"/>
  <c r="Q787" i="52"/>
  <c r="Q791" i="52"/>
  <c r="Q796" i="52"/>
  <c r="Q8" i="52"/>
  <c r="Q49" i="52"/>
  <c r="Q59" i="52"/>
  <c r="Q97" i="52"/>
  <c r="Q129" i="52"/>
  <c r="Q190" i="52"/>
  <c r="Q210" i="52"/>
  <c r="Q223" i="52"/>
  <c r="Q260" i="52"/>
  <c r="Q297" i="52"/>
  <c r="Q333" i="52"/>
  <c r="Q340" i="52"/>
  <c r="Q363" i="52"/>
  <c r="Q405" i="52"/>
  <c r="Q527" i="52"/>
  <c r="Q536" i="52"/>
  <c r="Q630" i="52"/>
  <c r="Q643" i="52"/>
  <c r="Q747" i="52"/>
  <c r="Q777" i="52"/>
  <c r="Q417" i="52"/>
  <c r="Q419" i="52"/>
  <c r="Q433" i="52"/>
  <c r="Q435" i="52"/>
  <c r="Q437" i="52"/>
  <c r="Q439" i="52"/>
  <c r="Q448" i="52"/>
  <c r="Q450" i="52"/>
  <c r="Q452" i="52"/>
  <c r="Q454" i="52"/>
  <c r="Q456" i="52"/>
  <c r="Q458" i="52"/>
  <c r="Q460" i="52"/>
  <c r="Q462" i="52"/>
  <c r="Q464" i="52"/>
  <c r="Q547" i="52"/>
  <c r="Q315" i="52"/>
  <c r="Q328" i="52"/>
  <c r="Q21" i="52"/>
  <c r="Q25" i="52"/>
  <c r="Q29" i="52"/>
  <c r="Q36" i="52"/>
  <c r="Q40" i="52"/>
  <c r="Q44" i="52"/>
  <c r="Q82" i="52"/>
  <c r="Q99" i="52"/>
  <c r="Q108" i="52"/>
  <c r="Q131" i="52"/>
  <c r="Q163" i="52"/>
  <c r="Q257" i="52"/>
  <c r="Q263" i="52"/>
  <c r="Q339" i="52"/>
  <c r="Q375" i="52"/>
  <c r="Q389" i="52"/>
  <c r="Q625" i="52"/>
  <c r="Q629" i="52"/>
  <c r="Q789" i="52"/>
  <c r="Q793" i="52"/>
  <c r="Q64" i="52"/>
  <c r="Q71" i="52"/>
  <c r="Q78" i="52"/>
  <c r="Q124" i="52"/>
  <c r="Q271" i="52"/>
  <c r="Q292" i="52"/>
  <c r="Q345" i="52"/>
  <c r="Q406" i="52"/>
  <c r="Q429" i="52"/>
  <c r="Q568" i="52"/>
  <c r="Q597" i="52"/>
  <c r="Q609" i="52"/>
  <c r="Q642" i="52"/>
  <c r="Q644" i="52"/>
  <c r="Q782" i="52"/>
  <c r="Q8" i="50" l="1"/>
  <c r="P8" i="50"/>
  <c r="F9" i="50"/>
  <c r="D9" i="50"/>
  <c r="E9" i="50"/>
</calcChain>
</file>

<file path=xl/sharedStrings.xml><?xml version="1.0" encoding="utf-8"?>
<sst xmlns="http://schemas.openxmlformats.org/spreadsheetml/2006/main" count="8284" uniqueCount="1040">
  <si>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</si>
  <si>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</si>
  <si>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</si>
  <si>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</si>
  <si>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</si>
  <si>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</si>
  <si>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</si>
  <si>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</si>
  <si>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</si>
  <si>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</si>
  <si>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</si>
  <si>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</si>
  <si>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</si>
  <si>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</si>
  <si>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</si>
  <si>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</si>
  <si>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</si>
  <si>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</si>
  <si>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</si>
  <si>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</si>
  <si>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</si>
  <si>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</si>
  <si>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</si>
  <si>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</si>
  <si>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</si>
  <si>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</si>
  <si>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</si>
  <si>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</si>
  <si>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</si>
  <si>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</si>
  <si>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</si>
  <si>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</si>
  <si>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</si>
  <si>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</si>
  <si>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</si>
  <si>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</si>
  <si>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</si>
  <si>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</si>
  <si>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</si>
  <si>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</si>
  <si>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</si>
  <si>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</si>
  <si>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</si>
  <si>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</si>
  <si>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</si>
  <si>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</si>
  <si>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</si>
  <si>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</si>
  <si>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</si>
  <si>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</si>
  <si>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</si>
  <si>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</si>
  <si>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</si>
  <si>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</si>
  <si>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</si>
  <si>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</si>
  <si>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</si>
  <si>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</si>
  <si>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</si>
  <si>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</si>
  <si>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</si>
  <si>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</si>
  <si>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</si>
  <si>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</si>
  <si>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</si>
  <si>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</si>
  <si>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</si>
  <si>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</si>
  <si>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</si>
  <si>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</si>
  <si>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</si>
  <si>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</si>
  <si>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</si>
  <si>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</si>
  <si>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</si>
  <si>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</si>
  <si>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</si>
  <si>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</si>
  <si>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</si>
  <si>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</si>
  <si>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</si>
  <si>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</si>
  <si>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</si>
  <si>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</si>
  <si>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</si>
  <si>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</si>
  <si>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</si>
  <si>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</si>
  <si>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</si>
  <si>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</si>
  <si>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</si>
  <si>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</si>
  <si>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</si>
  <si>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</si>
  <si>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</si>
  <si>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</si>
  <si>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</si>
  <si>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</si>
  <si>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</si>
  <si>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</si>
  <si>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</si>
  <si>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</si>
  <si>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</si>
  <si>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</si>
  <si>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</si>
  <si>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</si>
  <si>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</si>
  <si>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</si>
  <si>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</si>
  <si>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</si>
  <si>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</si>
  <si>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</si>
  <si>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</si>
  <si>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</si>
  <si>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</si>
  <si>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</si>
  <si>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</si>
  <si>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43231513;43232201;43232312;43233701</t>
  </si>
  <si>
    <t>81111801;81112100</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</si>
  <si>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</si>
  <si>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</si>
  <si>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</si>
  <si>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</si>
  <si>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</si>
  <si>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</si>
  <si>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</si>
  <si>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</si>
  <si>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</si>
  <si>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</si>
  <si>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</si>
  <si>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</si>
  <si>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</si>
  <si>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</si>
  <si>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</si>
  <si>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</si>
  <si>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</si>
  <si>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</si>
  <si>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</si>
  <si>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</si>
  <si>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</si>
  <si>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</si>
  <si>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</si>
  <si>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</si>
  <si>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</si>
  <si>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</si>
  <si>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</si>
  <si>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</si>
  <si>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</si>
  <si>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</si>
  <si>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</si>
  <si>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</si>
  <si>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</si>
  <si>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</si>
  <si>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</si>
  <si>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</si>
  <si>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</si>
  <si>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</si>
  <si>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</si>
  <si>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</si>
  <si>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</si>
  <si>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</si>
  <si>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</si>
  <si>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</si>
  <si>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</si>
  <si>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</si>
  <si>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</si>
  <si>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</si>
  <si>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</si>
  <si>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</si>
  <si>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</si>
  <si>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</si>
  <si>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</si>
  <si>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</si>
  <si>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</si>
  <si>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</si>
  <si>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</si>
  <si>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</si>
  <si>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</si>
  <si>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</si>
  <si>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</si>
  <si>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</si>
  <si>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</si>
  <si>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</si>
  <si>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</si>
  <si>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</si>
  <si>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</si>
  <si>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</si>
  <si>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</si>
  <si>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</si>
  <si>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</si>
  <si>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</si>
  <si>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</si>
  <si>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</si>
  <si>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</si>
  <si>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</si>
  <si>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</si>
  <si>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</si>
  <si>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</si>
  <si>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</si>
  <si>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</si>
  <si>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</si>
  <si>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</si>
  <si>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</si>
  <si>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</si>
  <si>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</si>
  <si>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</si>
  <si>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</si>
  <si>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</si>
  <si>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</si>
  <si>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</si>
  <si>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</si>
  <si>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</si>
  <si>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</si>
  <si>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</si>
  <si>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</si>
  <si>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</si>
  <si>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</si>
  <si>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</si>
  <si>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</si>
  <si>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</si>
  <si>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</si>
  <si>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</si>
  <si>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</si>
  <si>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</si>
  <si>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</si>
  <si>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</si>
  <si>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</si>
  <si>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</si>
  <si>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</si>
  <si>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</si>
  <si>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</si>
  <si>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</si>
  <si>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</si>
  <si>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</si>
  <si>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</si>
  <si>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</si>
  <si>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</si>
  <si>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</si>
  <si>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</si>
  <si>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</si>
  <si>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</si>
  <si>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</si>
  <si>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</si>
  <si>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</si>
  <si>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</si>
  <si>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</si>
  <si>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</si>
  <si>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</si>
  <si>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</si>
  <si>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</si>
  <si>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</si>
  <si>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</si>
  <si>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</si>
  <si>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</si>
  <si>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</si>
  <si>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</si>
  <si>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</si>
  <si>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</si>
  <si>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</si>
  <si>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</si>
  <si>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</si>
  <si>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</si>
  <si>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</si>
  <si>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</si>
  <si>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</si>
  <si>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</si>
  <si>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</si>
  <si>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</si>
  <si>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</si>
  <si>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</si>
  <si>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</si>
  <si>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</si>
  <si>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</si>
  <si>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</si>
  <si>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</si>
  <si>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</si>
  <si>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</si>
  <si>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</si>
  <si>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</si>
  <si>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</si>
  <si>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</si>
  <si>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</si>
  <si>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</si>
  <si>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</si>
  <si>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C-3701-1000-37</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</si>
  <si>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</si>
  <si>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</si>
  <si>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</si>
  <si>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</si>
  <si>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</si>
  <si>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</si>
  <si>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</si>
  <si>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</si>
  <si>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</si>
  <si>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</si>
  <si>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</si>
  <si>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</si>
  <si>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</si>
  <si>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</si>
  <si>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</si>
  <si>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</si>
  <si>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</si>
  <si>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</si>
  <si>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</si>
  <si>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</si>
  <si>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</si>
  <si>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</si>
  <si>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</si>
  <si>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</si>
  <si>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</si>
  <si>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</si>
  <si>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</si>
  <si>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</si>
  <si>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</si>
  <si>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</si>
  <si>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</si>
  <si>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</si>
  <si>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</si>
  <si>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</si>
  <si>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</si>
  <si>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</si>
  <si>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</si>
  <si>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</si>
  <si>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</si>
  <si>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</si>
  <si>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</si>
  <si>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</si>
  <si>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</si>
  <si>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</si>
  <si>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</si>
  <si>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</si>
  <si>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</si>
  <si>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</si>
  <si>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</si>
  <si>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</si>
  <si>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</si>
  <si>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</si>
  <si>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</si>
  <si>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</si>
  <si>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</si>
  <si>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</si>
  <si>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</si>
  <si>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</si>
  <si>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</si>
  <si>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</si>
  <si>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</si>
  <si>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</si>
  <si>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</si>
  <si>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</si>
  <si>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</si>
  <si>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</si>
  <si>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</si>
  <si>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</si>
  <si>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</si>
  <si>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</si>
  <si>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</si>
  <si>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</si>
  <si>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</si>
  <si>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</si>
  <si>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</si>
  <si>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</si>
  <si>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</si>
  <si>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</si>
  <si>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</si>
  <si>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</si>
  <si>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</si>
  <si>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</si>
  <si>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</si>
  <si>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86101708;86111500;86111501;86111600;86111600;86111600</t>
  </si>
  <si>
    <t>DDPCAC Aunar esfuerzos técnicos, administrativos y financieros  para que los jóvenes, mujeres y dignatarios de las 
Organizaciones de Acción Comunal accedan a programas de Educación Superior.</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</si>
  <si>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</si>
  <si>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</si>
  <si>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</si>
  <si>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</si>
  <si>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</si>
  <si>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</si>
  <si>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</si>
  <si>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</si>
  <si>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</si>
  <si>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</si>
  <si>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</si>
  <si>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</si>
  <si>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</si>
  <si>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</si>
  <si>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</si>
  <si>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</si>
  <si>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</si>
  <si>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</si>
  <si>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</si>
  <si>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</si>
  <si>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</si>
  <si>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</si>
  <si>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</si>
  <si>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</si>
  <si>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</si>
  <si>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</si>
  <si>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</si>
  <si>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</si>
  <si>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</si>
  <si>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</si>
  <si>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</si>
  <si>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</si>
  <si>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</si>
  <si>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</si>
  <si>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</si>
  <si>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</si>
  <si>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</si>
  <si>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</si>
  <si>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</si>
  <si>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</si>
  <si>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</si>
  <si>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</si>
  <si>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</si>
  <si>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</si>
  <si>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</si>
  <si>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</si>
  <si>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</si>
  <si>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</si>
  <si>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</si>
  <si>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</si>
  <si>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</si>
  <si>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</si>
  <si>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</si>
  <si>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</si>
  <si>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</si>
  <si>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</si>
  <si>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</si>
  <si>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</si>
  <si>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</si>
  <si>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</si>
  <si>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</si>
  <si>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</si>
  <si>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</si>
  <si>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</si>
  <si>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</si>
  <si>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</si>
  <si>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</si>
  <si>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</si>
  <si>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</si>
  <si>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</si>
  <si>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</si>
  <si>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</si>
  <si>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</si>
  <si>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</si>
  <si>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</si>
  <si>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</si>
  <si>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</si>
  <si>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</si>
  <si>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</si>
  <si>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</si>
  <si>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</si>
  <si>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</si>
  <si>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</si>
  <si>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</si>
  <si>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</si>
  <si>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</si>
  <si>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</si>
  <si>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</si>
  <si>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</si>
  <si>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</si>
  <si>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</si>
  <si>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</si>
  <si>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</si>
  <si>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</si>
  <si>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</si>
  <si>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</si>
  <si>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</si>
  <si>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</si>
  <si>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</si>
  <si>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</si>
  <si>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</si>
  <si>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</si>
  <si>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</si>
  <si>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</si>
  <si>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</si>
  <si>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</si>
  <si>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</si>
  <si>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</si>
  <si>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</si>
  <si>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</si>
  <si>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</si>
  <si>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</si>
  <si>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</si>
  <si>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</si>
  <si>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</si>
  <si>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</si>
  <si>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</si>
  <si>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</si>
  <si>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</si>
  <si>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</si>
  <si>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</si>
  <si>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</si>
  <si>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</si>
  <si>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</si>
  <si>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</si>
  <si>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</si>
  <si>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</si>
  <si>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</si>
  <si>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</si>
  <si>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</si>
  <si>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</si>
  <si>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</si>
  <si>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</si>
  <si>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</si>
  <si>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</si>
  <si>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</si>
  <si>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</si>
  <si>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</si>
  <si>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</si>
  <si>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</si>
  <si>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</si>
  <si>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</si>
  <si>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</si>
  <si>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</si>
  <si>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</si>
  <si>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</si>
  <si>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</si>
  <si>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</si>
  <si>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</si>
  <si>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</si>
  <si>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</si>
  <si>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</si>
  <si>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</si>
  <si>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</si>
  <si>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</si>
  <si>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</si>
  <si>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</si>
  <si>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</si>
  <si>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</si>
  <si>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</si>
  <si>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</si>
  <si>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</si>
  <si>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</si>
  <si>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</si>
  <si>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</si>
  <si>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</si>
  <si>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</si>
  <si>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</si>
  <si>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</si>
  <si>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</si>
  <si>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</si>
  <si>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</si>
  <si>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</si>
  <si>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</si>
  <si>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</si>
  <si>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</si>
  <si>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</si>
  <si>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</si>
  <si>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</si>
  <si>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</si>
  <si>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</si>
  <si>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</si>
  <si>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</si>
  <si>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</si>
  <si>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</si>
  <si>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</si>
  <si>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</si>
  <si>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</si>
  <si>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</si>
  <si>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</si>
  <si>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</si>
  <si>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</si>
  <si>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</si>
  <si>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</si>
  <si>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</si>
  <si>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</si>
  <si>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</si>
  <si>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</si>
  <si>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</si>
  <si>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</si>
  <si>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</si>
  <si>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</si>
  <si>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</si>
  <si>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</si>
  <si>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</si>
  <si>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</si>
  <si>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</si>
  <si>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</si>
  <si>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</si>
  <si>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</si>
  <si>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</si>
  <si>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</si>
  <si>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</si>
  <si>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</si>
  <si>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</si>
  <si>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</si>
  <si>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</si>
  <si>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</si>
  <si>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</si>
  <si>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</si>
  <si>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</si>
  <si>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</si>
  <si>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</si>
  <si>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</si>
  <si>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</si>
  <si>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</si>
  <si>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</si>
  <si>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</si>
  <si>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</si>
  <si>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</si>
  <si>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</si>
  <si>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</si>
  <si>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</si>
  <si>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</si>
  <si>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</si>
  <si>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</si>
  <si>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</si>
  <si>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</si>
  <si>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</si>
  <si>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</si>
  <si>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</si>
  <si>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</si>
  <si>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</si>
  <si>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</si>
  <si>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</si>
  <si>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</si>
  <si>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</si>
  <si>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</si>
  <si>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</si>
  <si>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</si>
  <si>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</si>
  <si>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</si>
  <si>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</si>
  <si>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</si>
  <si>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</si>
  <si>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</si>
  <si>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</si>
  <si>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</si>
  <si>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</si>
  <si>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</si>
  <si>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</si>
  <si>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</si>
  <si>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</si>
  <si>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</si>
  <si>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</si>
  <si>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</si>
  <si>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</si>
  <si>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</si>
  <si>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</si>
  <si>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</si>
  <si>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</si>
  <si>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</si>
  <si>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</si>
  <si>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</si>
  <si>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</si>
  <si>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</si>
  <si>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</si>
  <si>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</si>
  <si>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</si>
  <si>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</si>
  <si>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</si>
  <si>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</si>
  <si>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</si>
  <si>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</si>
  <si>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</si>
  <si>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</si>
  <si>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</si>
  <si>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</si>
  <si>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</si>
  <si>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</si>
  <si>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</si>
  <si>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</si>
  <si>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</si>
  <si>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</si>
  <si>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</si>
  <si>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</si>
  <si>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</si>
  <si>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</si>
  <si>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</si>
  <si>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</si>
  <si>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</si>
  <si>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</si>
  <si>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</si>
  <si>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</si>
  <si>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</si>
  <si>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</si>
  <si>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</si>
  <si>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</si>
  <si>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</si>
  <si>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</si>
  <si>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</si>
  <si>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</si>
  <si>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</si>
  <si>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</si>
  <si>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</si>
  <si>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</si>
  <si>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</si>
  <si>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</si>
  <si>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</si>
  <si>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</si>
  <si>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</si>
  <si>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</si>
  <si>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</si>
  <si>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</si>
  <si>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</si>
  <si>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</si>
  <si>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</si>
  <si>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</si>
  <si>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</si>
  <si>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</si>
  <si>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</si>
  <si>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</si>
  <si>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</si>
  <si>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</si>
  <si>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</si>
  <si>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</si>
  <si>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</si>
  <si>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</si>
  <si>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</si>
  <si>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</si>
  <si>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</si>
  <si>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</si>
  <si>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</si>
  <si>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</si>
  <si>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</si>
  <si>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</si>
  <si>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</si>
  <si>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</si>
  <si>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</si>
  <si>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</si>
  <si>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</si>
  <si>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</si>
  <si>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</si>
  <si>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</si>
  <si>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</si>
  <si>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</si>
  <si>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</si>
  <si>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</si>
  <si>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</si>
  <si>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</si>
  <si>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</si>
  <si>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</si>
  <si>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</si>
  <si>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</si>
  <si>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</si>
  <si>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</si>
  <si>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</si>
  <si>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</si>
  <si>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</si>
  <si>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</si>
  <si>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</si>
  <si>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</si>
  <si>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</si>
  <si>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</si>
  <si>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</si>
  <si>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</si>
  <si>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</si>
  <si>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</si>
  <si>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</si>
  <si>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</si>
  <si>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</si>
  <si>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</si>
  <si>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</si>
  <si>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</si>
  <si>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</si>
  <si>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</si>
  <si>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</si>
  <si>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</si>
  <si>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</si>
  <si>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</si>
  <si>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</si>
  <si>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</si>
  <si>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</si>
  <si>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</si>
  <si>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</si>
  <si>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</si>
  <si>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</si>
  <si>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</si>
  <si>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</si>
  <si>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</si>
  <si>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</si>
  <si>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</si>
  <si>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</si>
  <si>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</si>
  <si>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</si>
  <si>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</si>
  <si>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</si>
  <si>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</si>
  <si>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</si>
  <si>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</si>
  <si>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C-3704-1000-7</t>
  </si>
  <si>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</si>
  <si>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</si>
  <si>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</si>
  <si>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</si>
  <si>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</si>
  <si>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</si>
  <si>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</si>
  <si>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</si>
  <si>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</si>
  <si>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</si>
  <si>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</si>
  <si>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</si>
  <si>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</si>
  <si>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</si>
  <si>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</si>
  <si>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</si>
  <si>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</si>
  <si>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CP-Adquisición de equipos de computo para  el Ministerio del Interior - Dirección Nacional de Consulta Previa -DANCP</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</si>
  <si>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</si>
  <si>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</si>
  <si>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</si>
  <si>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</si>
  <si>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</si>
  <si>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</si>
  <si>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</si>
  <si>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</si>
  <si>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</si>
  <si>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</si>
  <si>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</si>
  <si>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</si>
  <si>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</si>
  <si>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</si>
  <si>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</si>
  <si>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</si>
  <si>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</si>
  <si>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</si>
  <si>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</si>
  <si>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</si>
  <si>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</si>
  <si>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</si>
  <si>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</si>
  <si>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</si>
  <si>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</si>
  <si>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</si>
  <si>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</si>
  <si>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8</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</si>
  <si>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</si>
  <si>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</si>
  <si>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</si>
  <si>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</si>
  <si>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</si>
  <si>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</si>
  <si>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</si>
  <si>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</si>
  <si>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</si>
  <si>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</si>
  <si>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</si>
  <si>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</si>
  <si>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</si>
  <si>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</si>
  <si>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</si>
  <si>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</si>
  <si>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</si>
  <si>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</si>
  <si>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</si>
  <si>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</si>
  <si>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</si>
  <si>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</si>
  <si>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</si>
  <si>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</si>
  <si>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</si>
  <si>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</si>
  <si>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</si>
  <si>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</si>
  <si>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</si>
  <si>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</si>
  <si>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</si>
  <si>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</si>
  <si>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</si>
  <si>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</si>
  <si>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</si>
  <si>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</si>
  <si>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</si>
  <si>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</si>
  <si>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</si>
  <si>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</si>
  <si>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</si>
  <si>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</si>
  <si>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</si>
  <si>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</si>
  <si>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</si>
  <si>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</si>
  <si>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SPSCC AUNAR ESFUERZOS TÉCNICOS,ADMINISTRATIVOS Y FINANCIEROS ENTRE LAS PARTES PARA DESARROLLAR LA CONSTRUCCIÓN DEL CENTRO ADMINISTRATIVO MUNICIPAL DEL MUNICIPIO DE MOCOA - PUTUMAYO</t>
  </si>
  <si>
    <t>43232402;43232403;43232405;43231501;43231512</t>
  </si>
  <si>
    <t>94131503;94131504;80101505;80101509</t>
  </si>
  <si>
    <t>OIP. Prestar servicios para implementar las buenas prácticas en el desarrollo, adquisición y/o alquiler de software en el Ministerio del Interior  en cumplimiento al anexo técnico dispuesto por la entidad.</t>
  </si>
  <si>
    <t>94131503;94131504;94131805;93141706;81131504;80101602;80141501;81141606;86111503;93151511;86101705</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</si>
  <si>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</si>
  <si>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</si>
  <si>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</si>
  <si>
    <t>CP-Contratar los servicios para realización de manera independiente y científica de una prueba en la calidad del aire de la comunidad indígena zenú del palmar en el municipio de Tolú, Sucre, en e marco del cumplimiento de la Sentencia T-433</t>
  </si>
  <si>
    <t>CP-Contratar los servicios técnicos y administrativos para garantizar la continuidad de la ruta metodológica del proceso de consulta previa e identidad cultural del pueblo raizal de Providencia y Santa Catalina en el marco de la Sentencia T-333 de 2022 de la Corte Constitucional de Colombia</t>
  </si>
  <si>
    <t>Jorge Eliecer Ortíz</t>
  </si>
  <si>
    <t>319 4170390</t>
  </si>
  <si>
    <t>eliecer.ortiz@mininterior.gov.co</t>
  </si>
  <si>
    <t>DDPCAC Adquirir el servicio de socialización y divulgación de la Política Pública de Participación Ciudadana y Electoral, así como la promoción de normatividad vigente en aspectos electorales, a través del diseño e implementación de estrategias de difusión; además de la consolidación del Proyecto de Ley de Garantías, Promoción y Participación desde la investigación y análisis normativo.</t>
  </si>
  <si>
    <t>DDPCAC Contratar los servicios de preproducción, producción, post producción y emisión de los productos audiovisuales que requiera la Dirección para la Democracia, la Participación Ciudadana y la Acción Comunal del Ministerio del Interior, para llevar a cabo los “Premios Colombia Participa 2024”, en cumplimiento de la Ley 1757 de 2015 Artículo 101.</t>
  </si>
  <si>
    <t>DDPCAC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</si>
  <si>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DDPCAP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</si>
  <si>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DDPCAC Diseñar, Desarrollar e implementar un Sistema Integrado de Información que permita fortalecer a los
organismos de Acción Comunal del territorio nacional en su capacidad administrativa, jurídica, técnica y
sistematización de procesos con el fin de administrar, optimizar la toma de decisiones y distribuir los datos de forma organizada.</t>
  </si>
  <si>
    <t>DDPCAC Aunar esfuerzos para promover acciones orientadas al fortalecimiento de la Acción Comunal; a través  de la   ejecución los siguientes componentes : A. El diseño, la formulación, implementación y divulgación de la política Pública de Acción Comunal; B.  la difusión de una cultura y pedagogía ciudadana en niños, niñas, adolescentes y jóvenes; C. La promoción de la realización de procesos de registro, modificación, actualización y legalización de la información en el Registro Único Comunal RUC; en el marco de la Ley 2166 de 2021 y el Decreto reglamentario 1501 de 2023.</t>
  </si>
  <si>
    <t>DDPCAP Contratar los servicios de preproducción, producción, postproducción, emisión y transmisión de los productos audiovisuales que requiera la Dirección para la Democracia, la Participación Ciudadana y la Acción Comunal del Ministerio del Interior, que permitan visibilizar y reconocer la labor de los Organismos de Acción Comunal OAC, en el marco de la Ley 2166 de 2021.</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</si>
  <si>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Ley 2166 de 2021.</t>
  </si>
  <si>
    <t>DACNARP Contratar servicios tècnicos y metodologicos, con el fin de concertar preacuerdos y acuerdos de la propuesta de decreto para la reglamentación Integral de la ley 70 de 1993, con el  Espacio Nacional de Consulta Previa, de Medidas Legislativas y Administrativas, Suceptibles de afectar a  las Comunidades Negras, Afrocolombianas, Raizales y Palenqueras.</t>
  </si>
  <si>
    <t>93131501; 93131502; 93131503</t>
  </si>
  <si>
    <t>OIP. Adquisición de herramienta para evaluación de vulnerabilidades de infraestructura tecnológica del Ministerio del Interior.</t>
  </si>
  <si>
    <t>Jorge Eliecer Ortiz Fernández</t>
  </si>
  <si>
    <t>OIP. Prestar servicios de un Centro de Operaciones de Seguridad (SOC) para llevar a cabo la gestión y supervisión de la seguridad  de la información soportada en  la infraestructura tecnológica del Ministerio del Interior.</t>
  </si>
  <si>
    <t>OIP.Adquisición, configuración, soporte técnico e  implementación de una solución de Control de Acceso a la Red (NAC) sobre la infraestructura LAN y WLAN del Ministerio del Interior</t>
  </si>
  <si>
    <t>SGH  Adquirir dotación de vestuario de labor para caballero  para los funcionarios del Ministerio del Interior, conforme a lo indicado en el acuerdo marco durante la vigencia 2023, en cumplimiento de la Ley 70 de 1988 y el Decreto 1978 de 1989.</t>
  </si>
  <si>
    <t>SPSCC Prestar los servicios de consultoría para realizar el diagnostico, análisis, validación y emisión de concepto acerca del costo directo o indirecto en los contratos de obra pública ejecutados por la Subdirección de Proyectos para la Seguridad y la Convivencia Ciudadana, en el marco del cumplimiento de una acción de mejora planteada con ocasión del INFORME DE AUDITORÍA FINANCIERA - CONTRALORÍA GENERAL DE LA REPÚBLICA VIGENCIA FISCAL 2022.</t>
  </si>
  <si>
    <t>Contratación régimen especial - Selección de comisionista</t>
  </si>
  <si>
    <t>Licitación pública</t>
  </si>
  <si>
    <t>Selección abreviada menor cuantía</t>
  </si>
  <si>
    <t>Concurso de méritos abierto</t>
  </si>
  <si>
    <t>Contratación régimen especial - Régimen especial</t>
  </si>
  <si>
    <t>Contratación directa</t>
  </si>
  <si>
    <t>CO-DC-11001</t>
  </si>
  <si>
    <t>DDH - Prestar servicios para apoyar a la dirección de derechos humanos en la planeación y desarrollo de un diplomado, generando conocimiento y fortalecimiento de habilidades, promoviendo herramientas para proteger los derechos humanos y apoyar la paz y la justicia en el país.</t>
  </si>
  <si>
    <t>81111801;43222503</t>
  </si>
  <si>
    <t xml:space="preserve">81111504;81112103;81112007;86141501;81111704;86111505;81112103
</t>
  </si>
  <si>
    <t>81111504;81112103;81112007;86141501;81111704;86111505;81112103</t>
  </si>
  <si>
    <t>80101601; 80101602; 80101603; 80101604</t>
  </si>
  <si>
    <t xml:space="preserve">
80101604</t>
  </si>
  <si>
    <t>93141706;94131805</t>
  </si>
  <si>
    <t>93141706;94131805;80101604</t>
  </si>
  <si>
    <t>DACNARP Contratar servicios tècnicos y metodologicos, con el fin de concertar preacuerdos, acuerdos y protocolización del  Reglamento Interno del Espacio Nacional de Consulta Previa, de Medidas Legislativas y Administrativas, Suceptibles de afectar a  las Comunidades Negras, Afrocolombianas, Raizales y Palenqueras.</t>
  </si>
  <si>
    <t>DACNARP Prestar los servicios de asistencia tecnica, juridica y financera, ademàs de la administración de los recursos de la puesta en marcha de los proyectos viabilizados con cargo al Banco de Proyectos  de la Dirección de Asuntos para Comunidades Negras, Afrocolombianas, Raizales y Palenqueras del Ministerio del Interior</t>
  </si>
  <si>
    <t>DAIRM - Aunar esfuerzos entre la Dirección de Asuntos Indígenas, Rom y Minorías del Ministerio del Interior y el Cabildo Menor las Huertas para la actualización del reglamento interno como instrumento de control social, el mejoramiento de la convivencia, la resolución de conflictos y fortalecimiento de la guardia indígena de el cabildo menor las huertas AZCIMMO en el departamento de sucre</t>
  </si>
  <si>
    <t>80101601;81101508</t>
  </si>
  <si>
    <t>SAF: Contratar el servicio de mantenimiento, recarga de extintores y adquirir extintores para el Ministerio del Interior</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</si>
  <si>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</si>
  <si>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</si>
  <si>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82121506;60105424;93141512;93141501;55101509;55111513;82131603;81111704</t>
  </si>
  <si>
    <t xml:space="preserve">86101708; 86111501 
</t>
  </si>
  <si>
    <t>43233203,43233205,81111801,43222503</t>
  </si>
  <si>
    <t>A-03-06-01-001</t>
  </si>
  <si>
    <t>VDG Prestar los servicios de asistencia técnica, jurídica, administrativa y financiera, para la implementación de las iniciativas comunitarias, con cargo al Banco de Proyectos del Viceministerio para el Dialogo Social, la Igualdad y los Derechos Humano del Ministerio del Interior.</t>
  </si>
  <si>
    <t>CP-Servicio de admisión, curso y entrega de correspondencia en las modalidades de correo certificado nacional y correo certificado internacional</t>
  </si>
  <si>
    <t>Contratacion directa</t>
  </si>
  <si>
    <t>Marlen Jorledi Orozco Ortiz</t>
  </si>
  <si>
    <t>marlen.orozco@mininterior.gov.co</t>
  </si>
  <si>
    <t>SAF: Compra de utiles de escritorio y derivados de carton para todas las dependencias del Ministerio del Interior</t>
  </si>
  <si>
    <t xml:space="preserve">A-02-02-01-003-005 </t>
  </si>
  <si>
    <t>SAF: Adquisición de consumibles de impresión para el Ministerio del Interior</t>
  </si>
  <si>
    <t>DACNARP Contratar el desarrollo de actividades técnicas, administrativas y metodológicas orientadas al cumplimiento de ordenes (administrativas y/o judiciales) y compromisos adquiridos por el Ministerio del Interior con las comunidades Negras y Afrocolombianas del pacifico Colombiano</t>
  </si>
  <si>
    <t>SGH Realizar la intervención a los colaboradores del Ministerio del Interior, a partir de los resultados obtenidos de la aplicación de la batería de riesgo psicosocial, en cumplimiento a la normativa vigente, por medio de los conceptos y prácticas asociadas a la metodología de Great Place to Work (Giftwork)</t>
  </si>
  <si>
    <t>DDH - Prestar los servicios de asistencia técnica y administrativa de los recursos asignados a la puesta en marcha de los proyectos viabilizados con cargo al Banco de Proyectos de la Dirección de Derechos Humanos</t>
  </si>
  <si>
    <t>SPSCC FORTALECIMENTO DE LA SEGURIDAD Y CONVIVENCIA CIUDADANA A TRAVÉS DE LAS OPERACIONES DE CCTV, SISTEMAS DE EMERGENCIAS Y SEGURIDAD, SUBSISTEMA CIRCUITO CERRADO DE TELEVISIÓN Y CENTRO DE MONITOREO DE OPERACIONES EN EL DEPARTAMENTO DEL CAUCA</t>
  </si>
  <si>
    <t>SPSCC ESTUDIOS, DISEÑOS E IMPLEMENTACIÓN DEL PROYECTO PARA EL FORTALECIMIENTO DE LA SEGURIDAD Y CONVIVENCIA TERRITORAL – SCT</t>
  </si>
  <si>
    <t>SPSCC SISTEMA INTEGRADO INTELIGENTE DE SEGURIDAD Y CONVIVENCIA CIUDADANA DEL DEPARTAMENTO DE CASANARE FASE I</t>
  </si>
  <si>
    <t>SPSCC FORTALECIMIENTO DE LA SEGURIDAD Y LA CONVIVENCIA CIUDADANA, A TRAVÉS DE LA ADQUISICIÓN DE MOVILIDAD, CON DESTINO A LA POLICIA NACIONAL DE COLOMBIA</t>
  </si>
  <si>
    <t>SPSCC FORTALECIMIENTO DE LA SEGURIDAD Y LA CONVIVENCIA CIUDADANA, A TRAVÉS DE LA ADQUISICIÓN DE MOVILIDAD, CON DESTINO AL EJERCITO NACIONAL DE COLOMBIA</t>
  </si>
  <si>
    <t>SPSCC Seguro de Grupo Vida y Accidentes Personales de los miembros Voluntarios de las Entidades Operativas del Sistema Nacional para la Prevención y Atención de Desastres — CRUZ ROJA COLOMBIANA, DEFENSA CIVIL COLOMBIANA Y BOMBEROS DE COLOMBIA para la vigencia de un (1) año.</t>
  </si>
  <si>
    <t>SPSCC AUNAR ESFUERZOS TÉCNICOS, ADTIVOS Y FINANCIEROS ENTRE LAS PARTES PARA PROMOVER LOS ESTUDIOS, DISEÑOS Y CONSTRUCCIÓN DEL CENTRO ADMINISTRATIVO MUNICIPAL</t>
  </si>
  <si>
    <t>25101702;25101801</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</si>
  <si>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</si>
  <si>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84131510;84131605</t>
  </si>
  <si>
    <t>44103100;44103125;44103105</t>
  </si>
  <si>
    <t>CP-Adquisición de consumibles de impresión para el Ministerio del Interior</t>
  </si>
  <si>
    <t>SPSCC FORTALECIMIENTO DE CAPACIDADES DE COMUNICACION MEDIANTE LA ADQUISICIÓN, INSTALACIÓN, INTEGRACION DE LA RED DE RADIOS DE MISION CRITICA DE LA POLICÍA NACIONAL.</t>
  </si>
  <si>
    <t>43191510;46171625</t>
  </si>
  <si>
    <t>81111500;43201815;43201500;43221700;43223205;43223209;46171600</t>
  </si>
  <si>
    <t>SPSCC IMPLEMENTACIÓN DE LA PLATAFORMA TECNOLOGICA AVANZADA PARA LA TOMA DE DECISIONES BASADA EN DATOS, ENFOCADA EN MEJORAR LA CONVIVENCIA Y SEGURIDAD CIUDADANA, APOYANDO A LOS COMANDANTES DE POLICIA Y BOBIERNOS LOCALES DESDE LA ADQUISICIÓN DE HARDWARE Y DESARROLLO DE SOFTWARE PARA LA INTELIGENCIA ARTIFICIAL IA.</t>
  </si>
  <si>
    <t>SPSCC AUNAR ESFUERZOS TÉCNICOS, ADMINISTRATIVOS Y FINANCIEROS  PARA LA EJECUCION DEL PROYECTO DE   MODERNIZACION DE LA INFRAESTRUCTURA TECNOLÓGICA DEL COMANDO GENERAL DE LAS FUERZAS MILITARES</t>
  </si>
  <si>
    <t>SPSCC AUNAR ESFUERZOS TÉCNICOS, ADMINISTRATIVOS Y FINANCIEROS PARA LA EJECUCION DEL PROYECTO DE INFRAESTRUCTURA PARA LA CONVIVENCIA - TIPO 2B ,   EN EL MUNICIPIO DEL CARMEN DE APICALA  - TOLIMA</t>
  </si>
  <si>
    <t>SPSCC AUNAR ESFUERZOS TÉCNICOS, ADMINISTRATIVOS Y FINANCIEROS PARA DESARROLLAR LOS ESTUDIOS, DISEÑOS Y CONSTRUCCIÓN DEL CENTRO ADMINISTRATIVO MUNICIPAL DEL MUNICIPIO GUACHUCAL - NARIÑO.</t>
  </si>
  <si>
    <t>SPSCC AUNAR ESFUERZOS TÉCNICOS, ADMINISTRATIVOS Y FINANCIEROS  PARA DESARROLLAR LOS ESTUDIOS, DISEÑOS Y CONSTRUCCIÓN DEL CENTRO ADMINISTRATIVO MUNICIPAL DEL MUNICIPIO CONTADERO - NARIÑO.</t>
  </si>
  <si>
    <t>SPSCC AUNAR ESFUERZOS TÉCNICOS, ADMINISTRATIVOS Y FINANCIEROS  PARA DESARROLLAR LOS ESTUDIOS, DISEÑOS Y CONSTRUCCIÓN DEL CENTRO ADMINISTRATIVO MUNICIPAL DEL MUNICIPIO CHACHAGUI - NARIÑO.</t>
  </si>
  <si>
    <t>SPSCC AUNAR ESFUERZOS TÉCNICOS, ADMINISTRATIVOS, OPERATIVOS Y FINANCIEROS PARA LA EJECUCIÓN DE PROYECTOS DE TECNOLOGÍA PARA LA SEGURIDAD, FINANCIADOS Y/O COFINACIADOS POR EL FONDO NACIONAL DE SEGURIDAD Y CONVIVENCIA CIUDADANA – FONSECON</t>
  </si>
  <si>
    <t>esperanza.morenoa@mininterior.gov.co</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</si>
  <si>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</si>
  <si>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académicos y administrativos, para adelantar el proceso de concertación social, en el marco del ordenamiento jurídico Wayuu. Presente, perspectivas y concertación estratégica.</t>
  </si>
  <si>
    <t>Idalmy Minotta Teràn</t>
  </si>
  <si>
    <t>Idalmy.minotta@mininterior.gov.co</t>
  </si>
  <si>
    <t>DAIRM - Aunar esfuerzos entre el Ministerio del Interior a través de la Dirección de Asuntos Indígenas, Rom y Minorías y la Asociación de Cabildos y Autoridades Tradicionales Indígenas del Departamento de Arauca – ASCATIDAR, para  la segunda fase del proceso de concertación y desarrollo técnico del plan de salvaguarda de la nación U’WA,  de la nación U’WA, asentada en los departamentos de Arauca, en el marco del cumplimiento del mandato de la corte constitucional mediante el auto 004 de 2009 de la sentencia T-025 de 2004.</t>
  </si>
  <si>
    <t>DAIRM - Aunar esfuerzos técnicos, administrativos y financieros, con el Comité Internacional para el Desarrollo de los Pueblos – CISP, para el desarrollo de acciones orientadas al fortalecimiento de los derechos territoriales, gobierno propio y programas de las poblaciones y comunidades indígenas del territorio Nacional.</t>
  </si>
  <si>
    <t>A-03-06-01-013</t>
  </si>
  <si>
    <t>DAIRM - Aunar esfuerzos entre la Dirección de Asuntos Indígenas, Rom y Minorías y la OPIAC, con el fin de fortalecer el funcionamiento y la capacidad  de gestión de la Comisión de Derechos Humanos de los Pueblos Indígenas en el marco del Decreto 1396 de 1996, como instancia que contribuye a la protección y garantía de los Derechos Humanos y Derecho Internacional Humanitario de los pueblos indígenas del país, en cumplimiento a los acuerdos IT2 - 59 e IT5 -126, concertados con la Mesa Permanente de Concertación Indígena.</t>
  </si>
  <si>
    <t>DDPCAC Aunar esfuerzos técnicos, administrativos y financieros, para la recuperación de la
infraestructura en salud en el territorio nacional, bajo la estrategia de fortalecimiento de las
juntas de acción comunal.</t>
  </si>
  <si>
    <t>SPSCC AUNAR ESFUERZOS TÉCNICOS, ADMINISTRATIVOS Y FINANCIEROS  PARA DESARROLLAR LOS ESTUDIOS, DISEÑOS Y CONSTRUCCIÓN DEL CENTRO ADMINISTRATIVO MUNICIPAL DEL MUNICIPIO ARATOCA - SANTANDER.</t>
  </si>
  <si>
    <t>DAIRM - Aunar esfuerzos técnicos, administrativos y financieros, para desarrollar las actividades y/o proyectos orientados al fortalecimiento los derechos territoriales, atención integral de los pueblos y comunidades Indígenas de los Pastos y Quillasingas del departamento de Nariño.</t>
  </si>
  <si>
    <t>7</t>
  </si>
  <si>
    <t>Jorge Eliecer Ortiz Fernandez</t>
  </si>
  <si>
    <t>81112006;43211501;43201835;43201803;</t>
  </si>
  <si>
    <t>OIP. Adquisición de un sistema de infraestructura hiperconvergente (HCI), en cumplimiento de las especificaciones técnicas determinadas en el anexo dispuesto por la Entidad</t>
  </si>
  <si>
    <t>CCE-11-01</t>
  </si>
  <si>
    <t>Contratacion Regimen especial - Selección de comisionista</t>
  </si>
  <si>
    <t>Idalmy Minptta Teran</t>
  </si>
  <si>
    <t>idalmy.minotta@mininterior.gov.co</t>
  </si>
  <si>
    <t>45121500;46171600</t>
  </si>
  <si>
    <t xml:space="preserve">SPSCC AUNAR ESFUERZOS TÉCNICOS, ADMINISTRATIVOS Y FINANCIEROS  PARA LA IIMPLEMENTACIÓN DEL SISTEMA INTEGRADO INTELIGENTE DE SEGURIDAD Y CONVIVENCIA CIUDADANA DEL DEPARTAMENTO DE CASANARE – FASE I. </t>
  </si>
  <si>
    <t>SPSCC AUNAR ESFUERZOS TECNICOS ADMINISTRATIVOS Y FINANCIEROS PARA LA CONSTRUCCION DEL CENTRO ADMINISTRATIVO MUNICIPAL DEL MUNICIPIO DE NUQUI DEPARTAMENTO DEL CHOCO.</t>
  </si>
  <si>
    <t>VDG Brindar asistencia técnica al Vieministerio de Diálogo Social, la Igualdad y los Derechos Humanos para realizar Impresiones litrograficas con el fin de socializar la política pública de  Dialogo Social.</t>
  </si>
  <si>
    <t>VDG Llevar a cabo la realización del  Curso de Formación en Dialogo Social</t>
  </si>
  <si>
    <t>VDG Implementar una estrategia de comunicación en torno a la política pública de Diálogo Social</t>
  </si>
  <si>
    <t>DAR Adquisición de un sistema de infraestructura hiperconvergente (HCI), en cumplimiento de las especificaciones técnicas determinadas en el anexo dispuesto por la Entidad</t>
  </si>
  <si>
    <t>SPSCC AUNAR ESFUERZOS TÉCNICOS, ADMINISTRATIVOS, OPERATIVOS Y FINANCIEROS PARA LA EJECUCIÓN DEL PROYECTO DENOMINADO PLATAFORMA  DE ANTICIPACION OCTOGONAL(PLATANO), EN EL MARCO DEL ACUERDO MARCO N°1782 DE 2024</t>
  </si>
  <si>
    <t>SPSCC AUNAR ESFUERZOS TÉCNICOS, OPERATIVOS,ADMINISTRATIVOS Y FINANCIEROS  PARA LA EJECUCION DEL PROYECTO DE   MODERNIZACION DE LA INFRAESTRUCTURA TECNOLÓGICA DEL SISTEMA DE CONECTIVIDAD TERRESTRE DEL COMANDO GENERAL DE LAS FUERZAS MILITARES,  EN EL MARCO DEL ACUERDO MARCO N°1782 DE 2024</t>
  </si>
  <si>
    <t>93141500;80101600</t>
  </si>
  <si>
    <t>DDPCAC Asistencia técnica para la promoción de una cultura y pedagogía ciudadana dirigida a niños, niñas, adolescentes a través del desarrollo de capacidades y fortalecimiento de conocimientos en acción comunal de conformidad con el Artículo 25 de la Ley 2166 de 2021</t>
  </si>
  <si>
    <t>SPSCC Realizar el desarrollo e implementación del proyecto para la Seguridad y Convivencia territorial del municipio de Pereira del departamento de Risaralda</t>
  </si>
  <si>
    <t>SPSCC Realizar el desarrollo e implementación del proyecto para la Seguridad y Convivencia territorial del municipio de Pasto del departamento de Nariño</t>
  </si>
  <si>
    <t>SPSCC Realizar el desarrollo e implementación del proyecto para la Seguridad y Convivencia territorial del municipio de  Villa de Leyva del departamento Boyacá</t>
  </si>
  <si>
    <t>SPSCC Realizar el desarrollo e implementación del proyecto para la Seguridad y Convivencia territorial de San Andrés</t>
  </si>
  <si>
    <t>SPSCCRealizar el desarrollo e implementación del proyecto para la Seguridad y Convivencia territorial del municipio de Montería del departamento de Córdoba</t>
  </si>
  <si>
    <t>SPSCCRealizar el desarrollo e implementación del proyecto para la Seguridad y Convivencia territorial del municipio de Buenaventura del departamento de valle del cauca</t>
  </si>
  <si>
    <t>SPSCCRealizar el desarrollo e implementación del proyecto para la Seguridad y Convivencia territorial del municipio de Caldas del departamento de Antioquia</t>
  </si>
  <si>
    <t>SPSCC Realizar el desarrollo e implementación del proyecto para la Seguridad y Convivencia territorial del municipio de  Jamundí del departamento de Valle del cauca </t>
  </si>
  <si>
    <t>SPSCC Realizar el desarrollo e implementación del proyecto para la Seguridad y Convivencia territorial del municipio de Cali del departamento Valle del Cauca </t>
  </si>
  <si>
    <t>SPSCC Realizar el desarrollo e implementación del proyecto para la Seguridad y Convivencia territorial del municipio del Guamo del departamento de Tolima</t>
  </si>
  <si>
    <t>SPSCC  Realizar el desarrollo e implementación de la plataforma de anticipación octagonal (Plátano)</t>
  </si>
  <si>
    <t>SPSCC Realizar la ejecución del proyecto de modernización de la infraestructura tecnológica del Comando General de las Fuerzas Militares</t>
  </si>
  <si>
    <t>81111500;43201815;43201500:43221700;43223205;43223209;46171600</t>
  </si>
  <si>
    <t>SGGT Adquisición de consumibles de impresión para el Ministerio del Interior</t>
  </si>
  <si>
    <t>Olga Lucia Salazar Sarmiento</t>
  </si>
  <si>
    <t>olga.salazar@mininterior.gov.co</t>
  </si>
  <si>
    <t>80111623;80141607;80141902;80161502;80161507;81141601;81141604;81141606;80141902;90101601;90101603;90101604;90111601;90111602;90111603;90151802;93141701;93141702</t>
  </si>
  <si>
    <t>DAIRM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</si>
  <si>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Dora del Carmen Caro Navarro</t>
  </si>
  <si>
    <t>dora.carodsc@mininterior.gov.co</t>
  </si>
  <si>
    <t>DDH - Adquisición de consumibles de impresión para el Ministerio</t>
  </si>
  <si>
    <t>94131503;94131504;80101602;94131805;93141706;93141602;93141605</t>
  </si>
  <si>
    <t>DACNARP  Aunar esfuerzos, técnicos, administrativos y financieros con el fin de realizar un diplomado dirigido a líderes y lideresas de consejos comunitarios, organizaciones de base y otras formas o expresiones organizativas, en resolución de conflictos, paz, derechos humanos y cultura democrática; así como actualizar el compendio del marco normativo que promueve los derechos de las comunidades Negras, Afro
colombianas, Raizales y Palenqueras.</t>
  </si>
  <si>
    <t>DACNARP Contratar los servicios técnicos, administrativos y metodológicos con el fin de desarrollar las actividades y/o proyectos orientados a dar cumplimiento al capítulo étnico del acuerdo de paz y a las metas e indicadores establecidos en el Plan Marco de Implementación de este acuerdo.</t>
  </si>
  <si>
    <t>DACNARP Contratar servicios, técnicos, Administrativos y metodológicos con el fin de adelantar la consulta previa del Estatuto Raizal, para la comunidad del archipiélago de San Andrés, Providencia y Santa Catalina.</t>
  </si>
  <si>
    <t>DACNARP  Aunar esfuerzos, técnicos, administrativos y financieros con el fin de realizar un diplomado dirigido a líderes y lideresas de consejos comunitarios, organizaciones de base y otras formas o expresiones organizativas, en resolución de conflictos, paz, derechos humanos y cultura democrática; así como actualizar el compendio del marco normativo que promueve los derechos de las comunidades Negras, Afrocolombianas, Raizales y Palenqueras.</t>
  </si>
  <si>
    <t>DACNARP Aunar esfuerzos, técnicos, administrativos y financieros con el fin de realizar un diplomado dirigido a líderes y lideresas de consejos comunitarios, organizaciones de base y otras formas o expresiones organizativas, en resolución de conflictos, paz, derechos humanos y cultura democrática; así como actualizar el compendio del marco normativo que promueve los derechos de las comunidades Negras, Afrocolombianas, Raizales y Palenqueras.</t>
  </si>
  <si>
    <t>Selección abreviada - acuerdo marco</t>
  </si>
  <si>
    <t>OIP. Mantenimiento preventivo de las UPS's, suministro e instalación de dos (2) bancos de baterías y bolsa de repuestos básicos para el Ministerio del Interior.</t>
  </si>
  <si>
    <t>DAIRM - Aunar esfuerzos entre la Dirección de Asuntos Indígenas, Rom y Minorías del Ministerio del Interior y la Organización Nacional Indígena de Colombia-ONIC para el fortalecimiento de la Mesa Permanente de Concertación con los Pueblos y Organizaciones Indígenas en el marco del cumplimiento del Decreto 1397 de 1996 y el acuerdo IT2-58 del Plan Nacional de Desarrollo 2022-2026.</t>
  </si>
  <si>
    <t>43211502;43211503;43211507;43211711</t>
  </si>
  <si>
    <t>DAIRM - Adquisición equipos de cómputo y periféricos para el ministerio del interior.</t>
  </si>
  <si>
    <t>CódigoUNSPSC(cadacódigoseparadopor;)</t>
  </si>
  <si>
    <t>93141706;94131805;93151511</t>
  </si>
  <si>
    <t>94131805;93141706;86111503;93151511;86101705</t>
  </si>
  <si>
    <t>43231512;43232201;43232303;43231511;43232306</t>
  </si>
  <si>
    <t>OIP. Adquisición de licencia de software para la implementación de Chatbot a medida, para el fortalecimiento de la política de servicio al ciudadano, mejorando la comunicación con el usuario y grupos de valor del Ministerio del Interior.</t>
  </si>
  <si>
    <t>39121011;39121004;72151514;73152108</t>
  </si>
  <si>
    <t>DAIRM - Contratar los servicios técnicos y administrativos para garantizar dando cumplimiento a la sentencia T-302 de 2017, y al Mecanismo Especial de Seguimiento y Evaluación de las Políticas Públicas (MESEPP), para la superación del Estado de Cosas Inconstitucional en los municipios de Riohacha, Manaure, Maicao y Uribia, del departamento de La Guajira, además de apoyar los procesos organizativos de la comunidad vulnerable Embera.</t>
  </si>
  <si>
    <t>CP-Contratar los servicios técnicos, académicos y administrativos, para adelantar el proceso de concertación social con la comunidad de Rio sucio Caldas</t>
  </si>
  <si>
    <t>CP-Contratar los servicios técnicos, académicos y administrativos, para adelantar el proceso de concertación social con la comunidad del Pueblo Bari</t>
  </si>
  <si>
    <t>CP-Adquisición equipos de cómputo y periféricos para el ministerio del interior.</t>
  </si>
  <si>
    <t>43211502;43211503:43211507;43211711</t>
  </si>
  <si>
    <t>SAF: Adquisición de equipos de computo de escritorio, portatiles y escaneres para el Ministerio del Interior</t>
  </si>
  <si>
    <t>DACNARP Adquisición de equipos de cómputo de escritorio,portátiles y escáneres para el ministerio del interior.</t>
  </si>
  <si>
    <t>OAP Adquisición equipos de cómputo y periféricos para el ministerio del interior.</t>
  </si>
  <si>
    <t>10</t>
  </si>
  <si>
    <r>
      <t xml:space="preserve">SAF: </t>
    </r>
    <r>
      <rPr>
        <b/>
        <sz val="10"/>
        <rFont val="Arial"/>
        <family val="2"/>
      </rPr>
      <t xml:space="preserve"> </t>
    </r>
    <r>
      <rPr>
        <sz val="10"/>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</si>
</sst>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2"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name val="Calibri"/>
      <family val="2"/>
      <scheme val="minor"/>
    </font>
    <font>
      <u/>
      <sz val="11"/>
      <name val="Arial"/>
      <family val="2"/>
    </font>
    <font>
      <sz val="11"/>
      <color theme="1"/>
      <name val="Calibri"/>
      <family val="2"/>
      <scheme val="minor"/>
    </font>
    <font>
      <sz val="11"/>
      <name val="Calibri"/>
      <family val="2"/>
      <scheme val="minor"/>
    </font>
    <font>
      <sz val="10.5"/>
      <name val="Arial"/>
      <family val="2"/>
    </font>
    <font>
      <b/>
      <sz val="10"/>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47">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rgb="FF000000"/>
      </left>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47">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xf numFmtId="0" fontId="38" fillId="0" borderId="0"/>
    <xf numFmtId="0" fontId="1" fillId="0" borderId="0"/>
    <xf numFmtId="0" fontId="21" fillId="0" borderId="0"/>
  </cellStyleXfs>
  <cellXfs count="295">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1" fontId="13" fillId="0" borderId="0" xfId="33" applyNumberFormat="1" applyFont="1" applyAlignment="1">
      <alignment horizontal="left" vertical="center"/>
    </xf>
    <xf numFmtId="3" fontId="13" fillId="0" borderId="0" xfId="33" applyNumberFormat="1" applyFont="1" applyAlignment="1">
      <alignment horizontal="left" vertical="center"/>
    </xf>
    <xf numFmtId="0" fontId="36" fillId="0" borderId="36" xfId="5" applyFont="1" applyFill="1" applyBorder="1" applyAlignment="1">
      <alignment horizontal="left"/>
    </xf>
    <xf numFmtId="0" fontId="36" fillId="0" borderId="36" xfId="5" applyFont="1" applyFill="1" applyBorder="1" applyAlignment="1">
      <alignment horizontal="left" wrapText="1"/>
    </xf>
    <xf numFmtId="0" fontId="36" fillId="0" borderId="36" xfId="5" applyFont="1" applyFill="1" applyBorder="1" applyAlignment="1" applyProtection="1">
      <alignment horizontal="left" vertical="center" wrapText="1"/>
      <protection locked="0"/>
    </xf>
    <xf numFmtId="0" fontId="4" fillId="0" borderId="0" xfId="34" applyFont="1" applyProtection="1">
      <protection hidden="1"/>
    </xf>
    <xf numFmtId="0" fontId="14" fillId="0" borderId="0" xfId="34" applyFont="1" applyAlignment="1" applyProtection="1">
      <alignment horizontal="left" vertical="center" wrapText="1"/>
      <protection hidden="1"/>
    </xf>
    <xf numFmtId="0" fontId="22" fillId="0" borderId="0" xfId="34" applyFont="1" applyProtection="1">
      <protection hidden="1"/>
    </xf>
    <xf numFmtId="0" fontId="14" fillId="0" borderId="0" xfId="34" applyFont="1" applyProtection="1">
      <protection hidden="1"/>
    </xf>
    <xf numFmtId="0" fontId="13" fillId="0" borderId="0" xfId="0" applyFont="1" applyProtection="1">
      <protection hidden="1"/>
    </xf>
    <xf numFmtId="0" fontId="13" fillId="0" borderId="0" xfId="0" applyFont="1" applyAlignment="1" applyProtection="1">
      <alignment vertical="center" wrapText="1"/>
      <protection hidden="1"/>
    </xf>
    <xf numFmtId="0" fontId="13" fillId="0" borderId="0" xfId="0" applyFont="1" applyAlignment="1" applyProtection="1">
      <alignment wrapText="1"/>
      <protection hidden="1"/>
    </xf>
    <xf numFmtId="0" fontId="13" fillId="0" borderId="0" xfId="34" applyFont="1" applyProtection="1">
      <protection hidden="1"/>
    </xf>
    <xf numFmtId="0" fontId="13" fillId="0" borderId="45" xfId="0" applyFont="1" applyBorder="1"/>
    <xf numFmtId="3" fontId="13" fillId="0" borderId="45" xfId="0" applyNumberFormat="1" applyFont="1" applyBorder="1" applyAlignment="1" applyProtection="1">
      <alignment horizontal="right" vertical="center" wrapText="1"/>
      <protection locked="0"/>
    </xf>
    <xf numFmtId="0" fontId="13" fillId="0" borderId="44" xfId="0" applyFont="1" applyBorder="1"/>
    <xf numFmtId="0" fontId="13" fillId="0" borderId="45" xfId="0" applyFont="1" applyBorder="1" applyProtection="1">
      <protection hidden="1"/>
    </xf>
    <xf numFmtId="0" fontId="13" fillId="0" borderId="44" xfId="0" applyFont="1" applyBorder="1" applyProtection="1">
      <protection hidden="1"/>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7" fillId="12" borderId="45" xfId="34" applyFont="1" applyFill="1" applyBorder="1" applyAlignment="1">
      <alignment horizontal="center" vertical="center" wrapText="1"/>
    </xf>
    <xf numFmtId="0" fontId="7" fillId="12" borderId="46"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0" xfId="34" applyFont="1" applyFill="1" applyBorder="1" applyAlignment="1">
      <alignment horizontal="center" vertical="center" wrapText="1"/>
    </xf>
    <xf numFmtId="0" fontId="21"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8" fillId="0" borderId="35" xfId="0" applyFont="1" applyFill="1" applyBorder="1" applyAlignment="1">
      <alignment horizontal="center"/>
    </xf>
    <xf numFmtId="0" fontId="8" fillId="0" borderId="45" xfId="0" applyFont="1" applyFill="1" applyBorder="1" applyAlignment="1">
      <alignment horizontal="center"/>
    </xf>
    <xf numFmtId="0" fontId="8" fillId="0" borderId="45" xfId="33" applyFont="1" applyFill="1" applyBorder="1" applyAlignment="1">
      <alignment horizontal="left" vertical="center"/>
    </xf>
    <xf numFmtId="3" fontId="8" fillId="0" borderId="45" xfId="33" applyNumberFormat="1" applyFont="1" applyFill="1" applyBorder="1" applyAlignment="1">
      <alignment horizontal="right" vertical="center"/>
    </xf>
    <xf numFmtId="1" fontId="8" fillId="0" borderId="45" xfId="33" applyNumberFormat="1" applyFont="1" applyFill="1" applyBorder="1" applyAlignment="1">
      <alignment horizontal="left" vertical="center"/>
    </xf>
    <xf numFmtId="3" fontId="8" fillId="0" borderId="45" xfId="33" applyNumberFormat="1" applyFont="1" applyFill="1" applyBorder="1" applyAlignment="1">
      <alignment horizontal="left" vertical="center"/>
    </xf>
    <xf numFmtId="3" fontId="8" fillId="0" borderId="45" xfId="33" applyNumberFormat="1" applyFont="1" applyFill="1" applyBorder="1" applyAlignment="1">
      <alignment horizontal="center" vertical="center"/>
    </xf>
    <xf numFmtId="49" fontId="8" fillId="0" borderId="45" xfId="2" applyFont="1" applyFill="1" applyBorder="1" applyAlignment="1">
      <alignment horizontal="center" vertical="center"/>
    </xf>
    <xf numFmtId="0" fontId="8" fillId="0" borderId="45" xfId="2" applyNumberFormat="1" applyFont="1" applyFill="1" applyBorder="1" applyAlignment="1">
      <alignment horizontal="center" vertical="center"/>
    </xf>
    <xf numFmtId="0" fontId="8" fillId="0" borderId="45" xfId="0" applyFont="1" applyFill="1" applyBorder="1" applyAlignment="1" applyProtection="1">
      <alignment horizontal="center"/>
      <protection locked="0"/>
    </xf>
    <xf numFmtId="0" fontId="8" fillId="0" borderId="45" xfId="0" applyFont="1" applyFill="1" applyBorder="1" applyAlignment="1">
      <alignment vertical="center" wrapText="1"/>
    </xf>
    <xf numFmtId="0" fontId="8" fillId="0" borderId="45" xfId="0" applyFont="1" applyFill="1" applyBorder="1" applyAlignment="1">
      <alignment horizontal="center" vertical="center" wrapText="1"/>
    </xf>
    <xf numFmtId="3" fontId="8" fillId="0" borderId="45" xfId="2" applyNumberFormat="1" applyFont="1" applyFill="1" applyBorder="1" applyAlignment="1" applyProtection="1">
      <alignment horizontal="right" vertical="center"/>
      <protection locked="0"/>
    </xf>
    <xf numFmtId="49" fontId="8" fillId="0" borderId="45" xfId="2" applyFont="1" applyFill="1" applyBorder="1" applyAlignment="1" applyProtection="1">
      <alignment horizontal="center" vertical="center"/>
      <protection locked="0"/>
    </xf>
    <xf numFmtId="0" fontId="8" fillId="0" borderId="45" xfId="0" applyFont="1" applyFill="1" applyBorder="1"/>
    <xf numFmtId="0" fontId="8" fillId="0" borderId="45" xfId="0" applyFont="1" applyFill="1" applyBorder="1" applyAlignment="1">
      <alignment horizontal="left"/>
    </xf>
    <xf numFmtId="0" fontId="8" fillId="0" borderId="36" xfId="0" applyFont="1" applyFill="1" applyBorder="1" applyAlignment="1">
      <alignment horizontal="left"/>
    </xf>
    <xf numFmtId="1" fontId="8" fillId="0" borderId="45" xfId="0" applyNumberFormat="1" applyFont="1" applyFill="1" applyBorder="1" applyAlignment="1" applyProtection="1">
      <alignment horizontal="center" vertical="center" wrapText="1"/>
      <protection locked="0"/>
    </xf>
    <xf numFmtId="0" fontId="8" fillId="0" borderId="45" xfId="0" applyFont="1" applyFill="1" applyBorder="1" applyAlignment="1" applyProtection="1">
      <alignment horizontal="center" vertical="center" wrapText="1"/>
      <protection locked="0"/>
    </xf>
    <xf numFmtId="0" fontId="8" fillId="0" borderId="45" xfId="0" applyFont="1" applyFill="1" applyBorder="1" applyAlignment="1" applyProtection="1">
      <alignment horizontal="justify" vertical="center" wrapText="1"/>
      <protection locked="0"/>
    </xf>
    <xf numFmtId="0" fontId="8" fillId="0" borderId="45" xfId="34" applyFont="1" applyFill="1" applyBorder="1" applyAlignment="1" applyProtection="1">
      <alignment horizontal="left"/>
      <protection hidden="1"/>
    </xf>
    <xf numFmtId="3" fontId="8" fillId="0" borderId="45" xfId="33" applyNumberFormat="1" applyFont="1" applyFill="1" applyBorder="1" applyAlignment="1">
      <alignment horizontal="left" vertical="center" wrapText="1"/>
    </xf>
    <xf numFmtId="0" fontId="8" fillId="0" borderId="45" xfId="0" applyFont="1" applyFill="1" applyBorder="1" applyAlignment="1" applyProtection="1">
      <alignment horizontal="center"/>
      <protection hidden="1"/>
    </xf>
    <xf numFmtId="0" fontId="8" fillId="0" borderId="45" xfId="0" applyFont="1" applyFill="1" applyBorder="1" applyAlignment="1">
      <alignment horizontal="left" wrapText="1"/>
    </xf>
    <xf numFmtId="172" fontId="8" fillId="0" borderId="35" xfId="0" applyNumberFormat="1" applyFont="1" applyFill="1" applyBorder="1" applyAlignment="1" applyProtection="1">
      <alignment horizontal="center" vertical="center" wrapText="1"/>
      <protection locked="0"/>
    </xf>
    <xf numFmtId="0" fontId="8" fillId="0" borderId="45" xfId="0" applyFont="1" applyFill="1" applyBorder="1" applyAlignment="1" applyProtection="1">
      <alignment horizontal="left" vertical="center" wrapText="1"/>
      <protection locked="0"/>
    </xf>
    <xf numFmtId="3" fontId="8" fillId="0" borderId="45" xfId="0" applyNumberFormat="1" applyFont="1" applyFill="1" applyBorder="1" applyAlignment="1" applyProtection="1">
      <alignment horizontal="right" vertical="center" wrapText="1"/>
      <protection locked="0"/>
    </xf>
    <xf numFmtId="1" fontId="8" fillId="0" borderId="45" xfId="0" applyNumberFormat="1" applyFont="1" applyFill="1" applyBorder="1" applyAlignment="1" applyProtection="1">
      <alignment horizontal="center" vertical="center" wrapText="1"/>
      <protection hidden="1"/>
    </xf>
    <xf numFmtId="0" fontId="37" fillId="0" borderId="36" xfId="0" applyFont="1" applyFill="1" applyBorder="1" applyAlignment="1" applyProtection="1">
      <alignment horizontal="left" vertical="center" wrapText="1"/>
      <protection locked="0"/>
    </xf>
    <xf numFmtId="0" fontId="8" fillId="0" borderId="35" xfId="34" applyFont="1" applyFill="1" applyBorder="1" applyAlignment="1" applyProtection="1">
      <alignment horizontal="center"/>
      <protection hidden="1"/>
    </xf>
    <xf numFmtId="0" fontId="8" fillId="0" borderId="45" xfId="34" applyFont="1" applyFill="1" applyBorder="1" applyAlignment="1" applyProtection="1">
      <alignment horizontal="center"/>
      <protection hidden="1"/>
    </xf>
    <xf numFmtId="3" fontId="8" fillId="0" borderId="45" xfId="34" applyNumberFormat="1" applyFont="1" applyFill="1" applyBorder="1" applyAlignment="1" applyProtection="1">
      <alignment horizontal="right"/>
      <protection hidden="1"/>
    </xf>
    <xf numFmtId="1" fontId="8" fillId="0" borderId="45" xfId="34" applyNumberFormat="1" applyFont="1" applyFill="1" applyBorder="1" applyAlignment="1" applyProtection="1">
      <alignment horizontal="left"/>
      <protection hidden="1"/>
    </xf>
    <xf numFmtId="0" fontId="8" fillId="0" borderId="45" xfId="34" applyFont="1" applyFill="1" applyBorder="1" applyAlignment="1" applyProtection="1">
      <alignment horizontal="left" vertical="center"/>
      <protection hidden="1"/>
    </xf>
    <xf numFmtId="0" fontId="8" fillId="0" borderId="45" xfId="34" applyFont="1" applyFill="1" applyBorder="1" applyProtection="1">
      <protection hidden="1"/>
    </xf>
    <xf numFmtId="0" fontId="8" fillId="0" borderId="37" xfId="0" applyFont="1" applyFill="1" applyBorder="1" applyAlignment="1">
      <alignment horizontal="center"/>
    </xf>
    <xf numFmtId="0" fontId="8" fillId="0" borderId="38" xfId="0" applyFont="1" applyFill="1" applyBorder="1" applyAlignment="1">
      <alignment horizontal="center"/>
    </xf>
    <xf numFmtId="0" fontId="8" fillId="0" borderId="38" xfId="33" applyFont="1" applyFill="1" applyBorder="1" applyAlignment="1">
      <alignment horizontal="left" vertical="center"/>
    </xf>
    <xf numFmtId="3" fontId="8" fillId="0" borderId="38" xfId="33" applyNumberFormat="1" applyFont="1" applyFill="1" applyBorder="1" applyAlignment="1">
      <alignment horizontal="right" vertical="center"/>
    </xf>
    <xf numFmtId="1" fontId="8" fillId="0" borderId="38" xfId="33" applyNumberFormat="1" applyFont="1" applyFill="1" applyBorder="1" applyAlignment="1">
      <alignment horizontal="left" vertical="center"/>
    </xf>
    <xf numFmtId="0" fontId="39" fillId="0" borderId="38" xfId="0" applyFont="1" applyFill="1" applyBorder="1" applyAlignment="1" applyProtection="1">
      <alignment wrapText="1"/>
      <protection locked="0"/>
    </xf>
    <xf numFmtId="3" fontId="8" fillId="0" borderId="38" xfId="33" applyNumberFormat="1" applyFont="1" applyFill="1" applyBorder="1" applyAlignment="1">
      <alignment horizontal="center" vertical="center"/>
    </xf>
    <xf numFmtId="49" fontId="8" fillId="0" borderId="38" xfId="2" applyFont="1" applyFill="1" applyBorder="1" applyAlignment="1">
      <alignment horizontal="center" vertical="center"/>
    </xf>
    <xf numFmtId="0" fontId="8" fillId="0" borderId="38" xfId="2" applyNumberFormat="1" applyFont="1" applyFill="1" applyBorder="1" applyAlignment="1">
      <alignment horizontal="center" vertical="center"/>
    </xf>
    <xf numFmtId="0" fontId="8" fillId="0" borderId="38" xfId="0" applyFont="1" applyFill="1" applyBorder="1" applyAlignment="1" applyProtection="1">
      <alignment horizontal="center"/>
      <protection locked="0"/>
    </xf>
    <xf numFmtId="0" fontId="8" fillId="0" borderId="38" xfId="0" applyFont="1" applyFill="1" applyBorder="1" applyAlignment="1">
      <alignment vertical="center" wrapText="1"/>
    </xf>
    <xf numFmtId="0" fontId="8" fillId="0" borderId="38" xfId="0" applyFont="1" applyFill="1" applyBorder="1" applyAlignment="1">
      <alignment horizontal="center" vertical="center" wrapText="1"/>
    </xf>
    <xf numFmtId="3" fontId="8" fillId="0" borderId="38" xfId="2" applyNumberFormat="1" applyFont="1" applyFill="1" applyBorder="1" applyAlignment="1" applyProtection="1">
      <alignment horizontal="right" vertical="center"/>
      <protection locked="0"/>
    </xf>
    <xf numFmtId="49" fontId="8" fillId="0" borderId="38" xfId="2" applyFont="1" applyFill="1" applyBorder="1" applyAlignment="1" applyProtection="1">
      <alignment horizontal="center" vertical="center"/>
      <protection locked="0"/>
    </xf>
    <xf numFmtId="0" fontId="8" fillId="0" borderId="38" xfId="0" applyFont="1" applyFill="1" applyBorder="1"/>
    <xf numFmtId="0" fontId="8" fillId="0" borderId="38" xfId="0" applyFont="1" applyFill="1" applyBorder="1" applyAlignment="1">
      <alignment horizontal="left"/>
    </xf>
    <xf numFmtId="0" fontId="8" fillId="0" borderId="39" xfId="0" applyFont="1" applyFill="1" applyBorder="1" applyAlignment="1">
      <alignment horizontal="left"/>
    </xf>
    <xf numFmtId="0" fontId="39" fillId="0" borderId="45" xfId="0" applyFont="1" applyFill="1" applyBorder="1" applyAlignment="1" applyProtection="1">
      <alignment wrapText="1"/>
      <protection locked="0"/>
    </xf>
    <xf numFmtId="0" fontId="8" fillId="0" borderId="45" xfId="0" applyFont="1" applyFill="1" applyBorder="1" applyAlignment="1" applyProtection="1">
      <alignment horizontal="left" wrapText="1"/>
      <protection locked="0"/>
    </xf>
    <xf numFmtId="0" fontId="8" fillId="0" borderId="45" xfId="0" applyFont="1" applyFill="1" applyBorder="1" applyAlignment="1" applyProtection="1">
      <alignment wrapText="1"/>
      <protection locked="0"/>
    </xf>
    <xf numFmtId="0" fontId="8" fillId="0" borderId="45" xfId="0" applyFont="1" applyFill="1" applyBorder="1" applyAlignment="1" applyProtection="1">
      <alignment horizontal="center" vertical="center"/>
      <protection locked="0"/>
    </xf>
    <xf numFmtId="0" fontId="8" fillId="0" borderId="45" xfId="0" applyFont="1" applyFill="1" applyBorder="1" applyAlignment="1" applyProtection="1">
      <alignment vertical="center"/>
      <protection locked="0"/>
    </xf>
    <xf numFmtId="0" fontId="4" fillId="0" borderId="45" xfId="6" applyFont="1" applyFill="1" applyBorder="1" applyAlignment="1">
      <alignment horizontal="left" vertical="center" wrapText="1"/>
    </xf>
    <xf numFmtId="0" fontId="8" fillId="0" borderId="45" xfId="0" applyFont="1" applyFill="1" applyBorder="1" applyProtection="1">
      <protection locked="0"/>
    </xf>
    <xf numFmtId="0" fontId="8" fillId="0" borderId="45" xfId="0" applyFont="1" applyFill="1" applyBorder="1" applyAlignment="1" applyProtection="1">
      <alignment vertical="center" wrapText="1"/>
      <protection locked="0"/>
    </xf>
    <xf numFmtId="0" fontId="8" fillId="0" borderId="45" xfId="0" applyFont="1" applyFill="1" applyBorder="1" applyAlignment="1" applyProtection="1">
      <alignment horizontal="center"/>
      <protection locked="0" hidden="1"/>
    </xf>
    <xf numFmtId="0" fontId="8" fillId="0" borderId="45" xfId="0" applyFont="1" applyFill="1" applyBorder="1" applyAlignment="1" applyProtection="1">
      <alignment horizontal="center" vertical="center"/>
      <protection locked="0" hidden="1"/>
    </xf>
    <xf numFmtId="1" fontId="8" fillId="0" borderId="45" xfId="33" applyNumberFormat="1" applyFont="1" applyFill="1" applyBorder="1" applyAlignment="1">
      <alignment horizontal="left" vertical="center" wrapText="1"/>
    </xf>
    <xf numFmtId="0" fontId="8" fillId="0" borderId="45" xfId="0" applyFont="1" applyFill="1" applyBorder="1" applyAlignment="1">
      <alignment horizontal="left" vertical="center"/>
    </xf>
    <xf numFmtId="0" fontId="36" fillId="0" borderId="36" xfId="5" applyFont="1" applyFill="1" applyBorder="1" applyAlignment="1">
      <alignment horizontal="left" vertical="center"/>
    </xf>
    <xf numFmtId="1" fontId="8" fillId="0" borderId="45" xfId="34" applyNumberFormat="1" applyFont="1" applyFill="1" applyBorder="1" applyAlignment="1" applyProtection="1">
      <alignment horizontal="left" vertical="center" wrapText="1"/>
      <protection hidden="1"/>
    </xf>
    <xf numFmtId="0" fontId="8" fillId="0" borderId="45" xfId="0" applyFont="1" applyFill="1" applyBorder="1" applyAlignment="1">
      <alignment horizontal="justify" vertical="center" wrapText="1"/>
    </xf>
    <xf numFmtId="0" fontId="8" fillId="0" borderId="45" xfId="33" applyFont="1" applyFill="1" applyBorder="1" applyAlignment="1">
      <alignment horizontal="left" vertical="center" wrapText="1"/>
    </xf>
    <xf numFmtId="0" fontId="40" fillId="0" borderId="45" xfId="0" applyFont="1" applyFill="1" applyBorder="1" applyAlignment="1">
      <alignment horizontal="justify" vertical="center" wrapText="1"/>
    </xf>
    <xf numFmtId="3" fontId="8" fillId="0" borderId="45" xfId="2" applyNumberFormat="1" applyFont="1" applyFill="1" applyBorder="1" applyProtection="1">
      <alignment horizontal="left" vertical="center"/>
      <protection locked="0"/>
    </xf>
    <xf numFmtId="3" fontId="8" fillId="0" borderId="45" xfId="2" applyNumberFormat="1" applyFont="1" applyFill="1" applyBorder="1" applyAlignment="1" applyProtection="1">
      <alignment horizontal="center" vertical="center"/>
      <protection locked="0"/>
    </xf>
    <xf numFmtId="0" fontId="8" fillId="0" borderId="36" xfId="0" applyFont="1" applyFill="1" applyBorder="1"/>
    <xf numFmtId="172" fontId="8" fillId="0" borderId="45" xfId="0" applyNumberFormat="1" applyFont="1" applyFill="1" applyBorder="1" applyAlignment="1" applyProtection="1">
      <alignment horizontal="center" vertical="center" wrapText="1"/>
      <protection locked="0"/>
    </xf>
    <xf numFmtId="174" fontId="8" fillId="0" borderId="45" xfId="0" applyNumberFormat="1" applyFont="1" applyFill="1" applyBorder="1" applyAlignment="1" applyProtection="1">
      <alignment horizontal="center" vertical="center" wrapText="1"/>
      <protection locked="0"/>
    </xf>
    <xf numFmtId="0" fontId="4" fillId="0" borderId="45" xfId="0" applyFont="1" applyFill="1" applyBorder="1" applyAlignment="1">
      <alignment horizontal="center" vertical="center" wrapText="1"/>
    </xf>
    <xf numFmtId="1" fontId="8" fillId="0" borderId="45" xfId="0" applyNumberFormat="1" applyFont="1" applyFill="1" applyBorder="1" applyAlignment="1" applyProtection="1">
      <alignment horizontal="left" vertical="center"/>
      <protection hidden="1"/>
    </xf>
    <xf numFmtId="172" fontId="8" fillId="0" borderId="35" xfId="0" applyNumberFormat="1" applyFont="1" applyFill="1" applyBorder="1" applyAlignment="1" applyProtection="1">
      <alignment horizontal="center" vertical="center"/>
      <protection locked="0"/>
    </xf>
    <xf numFmtId="174" fontId="8" fillId="0" borderId="45" xfId="0" applyNumberFormat="1" applyFont="1" applyFill="1" applyBorder="1" applyAlignment="1" applyProtection="1">
      <alignment horizontal="center" vertical="center"/>
      <protection locked="0"/>
    </xf>
    <xf numFmtId="0" fontId="3" fillId="0" borderId="45" xfId="0" applyFont="1" applyFill="1" applyBorder="1" applyAlignment="1">
      <alignment horizontal="left" vertical="center"/>
    </xf>
    <xf numFmtId="0" fontId="8" fillId="0" borderId="45" xfId="0" applyFont="1" applyFill="1" applyBorder="1" applyAlignment="1">
      <alignment horizontal="center" vertical="center"/>
    </xf>
    <xf numFmtId="1" fontId="8" fillId="0" borderId="45" xfId="0" applyNumberFormat="1" applyFont="1" applyFill="1" applyBorder="1" applyAlignment="1" applyProtection="1">
      <alignment horizontal="center" vertical="center"/>
      <protection hidden="1"/>
    </xf>
    <xf numFmtId="1" fontId="8" fillId="0" borderId="45" xfId="0" applyNumberFormat="1" applyFont="1" applyFill="1" applyBorder="1" applyAlignment="1" applyProtection="1">
      <alignment horizontal="center" vertical="center"/>
      <protection locked="0"/>
    </xf>
    <xf numFmtId="0" fontId="8" fillId="0" borderId="45" xfId="0" applyFont="1" applyFill="1" applyBorder="1" applyAlignment="1" applyProtection="1">
      <alignment horizontal="center" vertical="center"/>
      <protection hidden="1"/>
    </xf>
    <xf numFmtId="0" fontId="8" fillId="0" borderId="45" xfId="0" applyFont="1" applyFill="1" applyBorder="1" applyAlignment="1" applyProtection="1">
      <alignment horizontal="left" vertical="center"/>
      <protection hidden="1"/>
    </xf>
    <xf numFmtId="49" fontId="8" fillId="0" borderId="46" xfId="2" applyFont="1" applyFill="1" applyBorder="1" applyAlignment="1">
      <alignment horizontal="center" vertical="center"/>
    </xf>
    <xf numFmtId="0" fontId="8" fillId="0" borderId="46" xfId="0" applyFont="1" applyFill="1" applyBorder="1" applyAlignment="1" applyProtection="1">
      <alignment horizontal="center" vertical="center"/>
      <protection hidden="1"/>
    </xf>
    <xf numFmtId="0" fontId="8" fillId="0" borderId="45" xfId="0" applyFont="1" applyFill="1" applyBorder="1" applyAlignment="1">
      <alignment horizontal="left" vertical="center" wrapText="1"/>
    </xf>
    <xf numFmtId="0" fontId="8" fillId="0" borderId="45" xfId="2" applyNumberFormat="1" applyFont="1" applyFill="1" applyBorder="1" applyAlignment="1" applyProtection="1">
      <alignment horizontal="center" vertical="center"/>
      <protection locked="0"/>
    </xf>
    <xf numFmtId="1" fontId="8" fillId="0" borderId="45" xfId="0" applyNumberFormat="1" applyFont="1" applyFill="1" applyBorder="1" applyAlignment="1" applyProtection="1">
      <alignment horizontal="left" vertical="center" wrapText="1"/>
      <protection hidden="1"/>
    </xf>
    <xf numFmtId="0" fontId="8" fillId="0" borderId="45" xfId="0" applyFont="1" applyFill="1" applyBorder="1" applyAlignment="1" applyProtection="1">
      <alignment horizontal="left" vertical="top" wrapText="1"/>
      <protection locked="0"/>
    </xf>
    <xf numFmtId="0" fontId="8" fillId="0" borderId="45" xfId="0" applyFont="1" applyFill="1" applyBorder="1" applyAlignment="1" applyProtection="1">
      <alignment horizontal="center" vertical="top" wrapText="1"/>
      <protection locked="0"/>
    </xf>
    <xf numFmtId="0" fontId="8" fillId="0" borderId="45" xfId="0" applyFont="1" applyFill="1" applyBorder="1" applyAlignment="1" applyProtection="1">
      <alignment vertical="top" wrapText="1"/>
      <protection locked="0"/>
    </xf>
    <xf numFmtId="0" fontId="37" fillId="0" borderId="45" xfId="0" applyFont="1" applyFill="1" applyBorder="1" applyAlignment="1" applyProtection="1">
      <alignment horizontal="left" vertical="center" wrapText="1"/>
      <protection locked="0"/>
    </xf>
    <xf numFmtId="0" fontId="8" fillId="0" borderId="45" xfId="0" applyFont="1" applyFill="1" applyBorder="1" applyAlignment="1" applyProtection="1">
      <alignment horizontal="justify" vertical="top" wrapText="1"/>
      <protection locked="0"/>
    </xf>
    <xf numFmtId="1" fontId="4" fillId="0" borderId="45" xfId="0" applyNumberFormat="1" applyFont="1" applyFill="1" applyBorder="1" applyAlignment="1" applyProtection="1">
      <alignment horizontal="center" vertical="center" wrapText="1"/>
      <protection locked="0"/>
    </xf>
    <xf numFmtId="0" fontId="8" fillId="0" borderId="42" xfId="0" applyFont="1" applyFill="1" applyBorder="1" applyAlignment="1" applyProtection="1">
      <alignment horizontal="center"/>
      <protection locked="0"/>
    </xf>
    <xf numFmtId="0" fontId="8" fillId="0" borderId="42" xfId="0" applyFont="1" applyFill="1" applyBorder="1" applyAlignment="1">
      <alignment vertical="center" wrapText="1"/>
    </xf>
    <xf numFmtId="0" fontId="8" fillId="0" borderId="41" xfId="0" applyFont="1" applyFill="1" applyBorder="1" applyAlignment="1">
      <alignment horizontal="center"/>
    </xf>
    <xf numFmtId="0" fontId="8" fillId="0" borderId="42" xfId="0" applyFont="1" applyFill="1" applyBorder="1" applyAlignment="1" applyProtection="1">
      <alignment horizontal="center" vertical="center" wrapText="1"/>
      <protection locked="0"/>
    </xf>
    <xf numFmtId="0" fontId="8" fillId="0" borderId="42" xfId="0" applyFont="1" applyFill="1" applyBorder="1" applyAlignment="1" applyProtection="1">
      <alignment horizontal="justify" vertical="center" wrapText="1"/>
      <protection locked="0"/>
    </xf>
    <xf numFmtId="0" fontId="8" fillId="0" borderId="42" xfId="0" applyFont="1" applyFill="1" applyBorder="1" applyAlignment="1" applyProtection="1">
      <alignment horizontal="left" vertical="center" wrapText="1"/>
      <protection locked="0"/>
    </xf>
    <xf numFmtId="174" fontId="8" fillId="0" borderId="42" xfId="0" applyNumberFormat="1" applyFont="1" applyFill="1" applyBorder="1" applyAlignment="1" applyProtection="1">
      <alignment horizontal="center" vertical="center" wrapText="1"/>
      <protection locked="0"/>
    </xf>
    <xf numFmtId="3" fontId="8" fillId="0" borderId="42" xfId="0" applyNumberFormat="1" applyFont="1" applyFill="1" applyBorder="1" applyAlignment="1" applyProtection="1">
      <alignment horizontal="right" vertical="center" wrapText="1"/>
      <protection locked="0"/>
    </xf>
    <xf numFmtId="0" fontId="8" fillId="0" borderId="42" xfId="0" applyFont="1" applyFill="1" applyBorder="1" applyAlignment="1" applyProtection="1">
      <alignment vertical="center" wrapText="1"/>
      <protection locked="0"/>
    </xf>
    <xf numFmtId="0" fontId="8" fillId="0" borderId="42" xfId="0" applyFont="1" applyFill="1" applyBorder="1" applyAlignment="1">
      <alignment horizontal="center"/>
    </xf>
    <xf numFmtId="0" fontId="8" fillId="0" borderId="42" xfId="0" applyFont="1" applyFill="1" applyBorder="1" applyAlignment="1">
      <alignment horizontal="center" vertical="center" wrapText="1"/>
    </xf>
    <xf numFmtId="3" fontId="8" fillId="0" borderId="42" xfId="2" applyNumberFormat="1" applyFont="1" applyFill="1" applyBorder="1" applyAlignment="1" applyProtection="1">
      <alignment horizontal="right" vertical="center"/>
      <protection locked="0"/>
    </xf>
    <xf numFmtId="49" fontId="8" fillId="0" borderId="42" xfId="2" applyFont="1" applyFill="1" applyBorder="1" applyAlignment="1" applyProtection="1">
      <alignment horizontal="center" vertical="center"/>
      <protection locked="0"/>
    </xf>
    <xf numFmtId="0" fontId="8" fillId="0" borderId="42" xfId="0" applyFont="1" applyFill="1" applyBorder="1"/>
    <xf numFmtId="0" fontId="8" fillId="0" borderId="42" xfId="0" applyFont="1" applyFill="1" applyBorder="1" applyAlignment="1">
      <alignment horizontal="left"/>
    </xf>
    <xf numFmtId="0" fontId="36" fillId="0" borderId="43" xfId="5" applyFont="1" applyFill="1" applyBorder="1" applyAlignment="1">
      <alignment horizontal="left"/>
    </xf>
  </cellXfs>
  <cellStyles count="47">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0 2" xfId="46" xr:uid="{6D6D151B-6B8D-4396-B706-7039B1B72FF9}"/>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ormal 5" xfId="44" xr:uid="{E460D0D1-0D1B-4DD4-B734-97BA357FA777}"/>
    <cellStyle name="Normal 7 2" xfId="45" xr:uid="{66E7F68B-0396-40A3-ACCB-BFFC9F85A0AE}"/>
    <cellStyle name="Numeric" xfId="3" xr:uid="{00000000-0005-0000-0000-00002B000000}"/>
  </cellStyles>
  <dxfs count="0"/>
  <tableStyles count="1" defaultTableStyle="TableStyleMedium2" defaultPivotStyle="PivotStyleLight16">
    <tableStyle name="Invisible" pivot="0" table="0" count="0" xr9:uid="{47C00A41-8393-4B62-B097-7B3957413F7F}"/>
  </tableStyles>
  <colors>
    <mruColors>
      <color rgb="FFFFFF99"/>
      <color rgb="FFCC66FF"/>
      <color rgb="FF0000FF"/>
      <color rgb="FF6600FF"/>
      <color rgb="FF9966FF"/>
      <color rgb="FF9933FF"/>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77E88A2A-2ED0-4FE8-99E3-E2A33CEDEEBC}"/>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E05D35E2-4AAF-9E2C-3611-A2F79DA85314}"/>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12381B2C-6D9E-A575-6A6B-5569696040B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AECBB6A5-242D-A64A-26ED-FBED02F31378}"/>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CBDC35DD-C2B9-8C6E-5C8A-971320BAB2E3}"/>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ED60675-446C-2A12-C3DC-65CB072C874F}"/>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4877D371-D985-E13A-23B4-BB34AE1E27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3C5CC22B-2231-CEFD-11B0-D929CAC15F11}"/>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E36A1A8F-0FDB-2673-4404-CE3A67DE19B7}"/>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C000AD72-D8EA-7741-EE77-CC10D3031DD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8ADC822E-2FAF-63A9-ED1D-E6C499A315AB}"/>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A248E7B6-61F9-D7F4-EE52-EEE811A8D9C7}"/>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6AADD275-8718-268D-8EF6-C36580DFC458}"/>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2591828</xdr:colOff>
      <xdr:row>2</xdr:row>
      <xdr:rowOff>124123</xdr:rowOff>
    </xdr:to>
    <xdr:pic>
      <xdr:nvPicPr>
        <xdr:cNvPr id="15" name="Imagen 14">
          <a:extLst>
            <a:ext uri="{FF2B5EF4-FFF2-40B4-BE49-F238E27FC236}">
              <a16:creationId xmlns:a16="http://schemas.microsoft.com/office/drawing/2014/main" id="{461457FB-A559-4DD4-8AED-48F62AE907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20391"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ininteriorgovco-my.sharepoint.com/personal/yobani_alfonso_mininterior_gov_co/Documents/2024/FINANCIERA%202024/PAA/PLAN%20ANUAL%20DE%20ADQUISICIONES/PAA%202024/PAA%202024/PAA%20VS%2016/DAR%20VS%206/ID-358487-28%20JUNIO-V6-DAR.xlsx" TargetMode="External"/><Relationship Id="rId1" Type="http://schemas.openxmlformats.org/officeDocument/2006/relationships/externalLinkPath" Target="/personal/yobani_alfonso_mininterior_gov_co/Documents/2024/FINANCIERA%202024/PAA/PLAN%20ANUAL%20DE%20ADQUISICIONES/PAA%202024/PAA%202024/PAA%20VS%2016/DAR%20VS%206/ID-358487-28%20JUNIO-V6-DA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PAA"/>
      <sheetName val="FORMATO PAA"/>
      <sheetName val="Parámetros"/>
    </sheetNames>
    <sheetDataSet>
      <sheetData sheetId="0"/>
      <sheetData sheetId="1"/>
      <sheetData sheetId="2">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german.carlosama@mininterior.gov.co" TargetMode="External"/><Relationship Id="rId21" Type="http://schemas.openxmlformats.org/officeDocument/2006/relationships/hyperlink" Target="mailto:edgar.gonzalez@mininterior.gov.co" TargetMode="External"/><Relationship Id="rId63" Type="http://schemas.openxmlformats.org/officeDocument/2006/relationships/hyperlink" Target="mailto:edgar.gonzalez@mininterior.gov.co" TargetMode="External"/><Relationship Id="rId159" Type="http://schemas.openxmlformats.org/officeDocument/2006/relationships/hyperlink" Target="mailto:rodolfo.vega@mininterior.gov.co" TargetMode="External"/><Relationship Id="rId324" Type="http://schemas.openxmlformats.org/officeDocument/2006/relationships/hyperlink" Target="mailto:franklin.castaneda@mininterior.gov.co" TargetMode="External"/><Relationship Id="rId366" Type="http://schemas.openxmlformats.org/officeDocument/2006/relationships/hyperlink" Target="mailto:idalmy.minotta@mininterior.gov.co" TargetMode="External"/><Relationship Id="rId170" Type="http://schemas.openxmlformats.org/officeDocument/2006/relationships/hyperlink" Target="mailto:rodolfo.vega@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edgar.gonzalez@mininterior.gov.co" TargetMode="External"/><Relationship Id="rId32" Type="http://schemas.openxmlformats.org/officeDocument/2006/relationships/hyperlink" Target="mailto:edgar.gonzalez@mininterior.gov.co" TargetMode="External"/><Relationship Id="rId74" Type="http://schemas.openxmlformats.org/officeDocument/2006/relationships/hyperlink" Target="mailto:edgar.gonzalez@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diana.vivas@mininterior.gov.co" TargetMode="External"/><Relationship Id="rId377" Type="http://schemas.openxmlformats.org/officeDocument/2006/relationships/hyperlink" Target="mailto:idalmy.minotta@mininterior.gov.co" TargetMode="External"/><Relationship Id="rId5" Type="http://schemas.openxmlformats.org/officeDocument/2006/relationships/hyperlink" Target="mailto:diana.vivas@mininterior.gov.co" TargetMode="External"/><Relationship Id="rId181" Type="http://schemas.openxmlformats.org/officeDocument/2006/relationships/hyperlink" Target="mailto:rodolfo.vega@mininterior.gov.co" TargetMode="External"/><Relationship Id="rId237" Type="http://schemas.openxmlformats.org/officeDocument/2006/relationships/hyperlink" Target="mailto:rodolfo.vega@mininterior.gov.co" TargetMode="External"/><Relationship Id="rId279" Type="http://schemas.openxmlformats.org/officeDocument/2006/relationships/hyperlink" Target="mailto:edgar.gonzalez@mininterior.gov.co" TargetMode="External"/><Relationship Id="rId43" Type="http://schemas.openxmlformats.org/officeDocument/2006/relationships/hyperlink" Target="mailto:edgar.gonzalez@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german.carlosama@mininterior.gov.co" TargetMode="External"/><Relationship Id="rId304" Type="http://schemas.openxmlformats.org/officeDocument/2006/relationships/hyperlink" Target="mailto:german.carlosama@mininterior.gov.co" TargetMode="External"/><Relationship Id="rId346" Type="http://schemas.openxmlformats.org/officeDocument/2006/relationships/hyperlink" Target="mailto:idalmy.minotta@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rodolfo.vega@mininterior.gov.co" TargetMode="External"/><Relationship Id="rId192" Type="http://schemas.openxmlformats.org/officeDocument/2006/relationships/hyperlink" Target="mailto:rodolfo.vega@mininterior.gov.co" TargetMode="External"/><Relationship Id="rId206" Type="http://schemas.openxmlformats.org/officeDocument/2006/relationships/hyperlink" Target="mailto:rodolfo.vega@mininterior.gov.co" TargetMode="External"/><Relationship Id="rId248" Type="http://schemas.openxmlformats.org/officeDocument/2006/relationships/hyperlink" Target="mailto:william.cruz@mininterior.gov.co" TargetMode="External"/><Relationship Id="rId12" Type="http://schemas.openxmlformats.org/officeDocument/2006/relationships/hyperlink" Target="mailto:yuly.manosalva@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eliecer.ortiz@mininterior.gov.co" TargetMode="External"/><Relationship Id="rId357" Type="http://schemas.openxmlformats.org/officeDocument/2006/relationships/hyperlink" Target="mailto:idalmy.minotta@mininterior.gov.co" TargetMode="External"/><Relationship Id="rId54" Type="http://schemas.openxmlformats.org/officeDocument/2006/relationships/hyperlink" Target="mailto:edgar.gonzalez@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rodolfo.vega@mininterior.gov.co" TargetMode="External"/><Relationship Id="rId217" Type="http://schemas.openxmlformats.org/officeDocument/2006/relationships/hyperlink" Target="mailto:alvaro.echeverry@mininterior.gov.co" TargetMode="External"/><Relationship Id="rId259" Type="http://schemas.openxmlformats.org/officeDocument/2006/relationships/hyperlink" Target="mailto:hermes.perez@mininterior.gov.co" TargetMode="External"/><Relationship Id="rId23" Type="http://schemas.openxmlformats.org/officeDocument/2006/relationships/hyperlink" Target="mailto:edgar.gonzalez@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sandra.contreras@mininterior.gov.co" TargetMode="External"/><Relationship Id="rId326" Type="http://schemas.openxmlformats.org/officeDocument/2006/relationships/hyperlink" Target="mailto:franklin.castaneda@mininterior.gov.co" TargetMode="External"/><Relationship Id="rId65" Type="http://schemas.openxmlformats.org/officeDocument/2006/relationships/hyperlink" Target="mailto:edgar.gonzalez@mininterior.gov.co" TargetMode="External"/><Relationship Id="rId130" Type="http://schemas.openxmlformats.org/officeDocument/2006/relationships/hyperlink" Target="mailto:edgar.gonzalez@mininterior.gov.co" TargetMode="External"/><Relationship Id="rId368" Type="http://schemas.openxmlformats.org/officeDocument/2006/relationships/hyperlink" Target="mailto:idalmy.minotta@mininterior.gov.co" TargetMode="External"/><Relationship Id="rId172" Type="http://schemas.openxmlformats.org/officeDocument/2006/relationships/hyperlink" Target="mailto:rodolfo.vega@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edgar.gonzalez@mininterior.gov.co" TargetMode="External"/><Relationship Id="rId337" Type="http://schemas.openxmlformats.org/officeDocument/2006/relationships/hyperlink" Target="mailto:diana.vivas@mininterior.gov.co" TargetMode="External"/><Relationship Id="rId34" Type="http://schemas.openxmlformats.org/officeDocument/2006/relationships/hyperlink" Target="mailto:edgar.gonzalez@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speranza.moreno@mininterior.gov.co" TargetMode="External"/><Relationship Id="rId379" Type="http://schemas.openxmlformats.org/officeDocument/2006/relationships/hyperlink" Target="mailto:idalmy.minotta@mininterior.gov.co" TargetMode="External"/><Relationship Id="rId7" Type="http://schemas.openxmlformats.org/officeDocument/2006/relationships/hyperlink" Target="mailto:yuly.manosalva@mininterior.gov.co" TargetMode="External"/><Relationship Id="rId183" Type="http://schemas.openxmlformats.org/officeDocument/2006/relationships/hyperlink" Target="mailto:rodolfo.vega@mininterior.gov.co" TargetMode="External"/><Relationship Id="rId239" Type="http://schemas.openxmlformats.org/officeDocument/2006/relationships/hyperlink" Target="mailto:rodolfo.vega@mininterior.gov.co" TargetMode="External"/><Relationship Id="rId250" Type="http://schemas.openxmlformats.org/officeDocument/2006/relationships/hyperlink" Target="mailto:william.cruz@mininterior.gov.co" TargetMode="External"/><Relationship Id="rId292" Type="http://schemas.openxmlformats.org/officeDocument/2006/relationships/hyperlink" Target="mailto:german.carlosama@mininterior.gov.co" TargetMode="External"/><Relationship Id="rId306" Type="http://schemas.openxmlformats.org/officeDocument/2006/relationships/hyperlink" Target="mailto:german.carlosama@mininterior.gov.co" TargetMode="External"/><Relationship Id="rId45" Type="http://schemas.openxmlformats.org/officeDocument/2006/relationships/hyperlink" Target="mailto:edgar.gonzalez@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idalmy.minotta@mininterior.gov.co" TargetMode="External"/><Relationship Id="rId152" Type="http://schemas.openxmlformats.org/officeDocument/2006/relationships/hyperlink" Target="mailto:rodolfo.vega@mininterior.gov.co" TargetMode="External"/><Relationship Id="rId194" Type="http://schemas.openxmlformats.org/officeDocument/2006/relationships/hyperlink" Target="mailto:rodolfo.vega@mininterior.gov.co" TargetMode="External"/><Relationship Id="rId208" Type="http://schemas.openxmlformats.org/officeDocument/2006/relationships/hyperlink" Target="mailto:yuly.manosalva@mininterior.gov.co" TargetMode="External"/><Relationship Id="rId261" Type="http://schemas.openxmlformats.org/officeDocument/2006/relationships/hyperlink" Target="mailto:edgar.gonzalez@mininterior.gov.co" TargetMode="External"/><Relationship Id="rId14" Type="http://schemas.openxmlformats.org/officeDocument/2006/relationships/hyperlink" Target="mailto:yuly.manosalva@mininterior.gov.co" TargetMode="External"/><Relationship Id="rId56" Type="http://schemas.openxmlformats.org/officeDocument/2006/relationships/hyperlink" Target="mailto:edgar.gonzalez@mininterior.gov.co" TargetMode="External"/><Relationship Id="rId317" Type="http://schemas.openxmlformats.org/officeDocument/2006/relationships/hyperlink" Target="mailto:olga.salazar@mininterior.gov.co" TargetMode="External"/><Relationship Id="rId359" Type="http://schemas.openxmlformats.org/officeDocument/2006/relationships/hyperlink" Target="mailto:idalmy.minotta@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63" Type="http://schemas.openxmlformats.org/officeDocument/2006/relationships/hyperlink" Target="mailto:rodolfo.vega@mininterior.gov.co" TargetMode="External"/><Relationship Id="rId219" Type="http://schemas.openxmlformats.org/officeDocument/2006/relationships/hyperlink" Target="mailto:rodolfo.vega@mininterior.gov.co" TargetMode="External"/><Relationship Id="rId370" Type="http://schemas.openxmlformats.org/officeDocument/2006/relationships/hyperlink" Target="mailto:idalmy.minotta@mininterior.gov.co" TargetMode="External"/><Relationship Id="rId230" Type="http://schemas.openxmlformats.org/officeDocument/2006/relationships/hyperlink" Target="mailto:rodolfo.vega@mininterior.gov.co" TargetMode="External"/><Relationship Id="rId25" Type="http://schemas.openxmlformats.org/officeDocument/2006/relationships/hyperlink" Target="mailto:edgar.gonzalez@mininterior.gov.co" TargetMode="External"/><Relationship Id="rId67" Type="http://schemas.openxmlformats.org/officeDocument/2006/relationships/hyperlink" Target="mailto:edgar.gonzalez@mininterior.gov.co" TargetMode="External"/><Relationship Id="rId272" Type="http://schemas.openxmlformats.org/officeDocument/2006/relationships/hyperlink" Target="mailto:eliecer.ortiz@mininterior.gov.co" TargetMode="External"/><Relationship Id="rId328" Type="http://schemas.openxmlformats.org/officeDocument/2006/relationships/hyperlink" Target="mailto:franklin.castaneda@mininterior.gov.co" TargetMode="External"/><Relationship Id="rId132" Type="http://schemas.openxmlformats.org/officeDocument/2006/relationships/hyperlink" Target="mailto:edgar.gonzalez@mininterior.gov.co" TargetMode="External"/><Relationship Id="rId174" Type="http://schemas.openxmlformats.org/officeDocument/2006/relationships/hyperlink" Target="mailto:rodolfo.vega@mininterior.gov.co" TargetMode="External"/><Relationship Id="rId381" Type="http://schemas.openxmlformats.org/officeDocument/2006/relationships/hyperlink" Target="mailto:idalmy.minotta@mininterior.gov.co" TargetMode="External"/><Relationship Id="rId241" Type="http://schemas.openxmlformats.org/officeDocument/2006/relationships/hyperlink" Target="mailto:rodolfo.vega@mininterior.gov.co" TargetMode="External"/><Relationship Id="rId36" Type="http://schemas.openxmlformats.org/officeDocument/2006/relationships/hyperlink" Target="mailto:edgar.gonzalez@mininterior.gov.co" TargetMode="External"/><Relationship Id="rId283" Type="http://schemas.openxmlformats.org/officeDocument/2006/relationships/hyperlink" Target="mailto:edgar.gonzalez@mininterior.gov.co" TargetMode="External"/><Relationship Id="rId339" Type="http://schemas.openxmlformats.org/officeDocument/2006/relationships/hyperlink" Target="mailto:eliecer.ortiz@mininterior.gov.co" TargetMode="External"/><Relationship Id="rId78"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43" Type="http://schemas.openxmlformats.org/officeDocument/2006/relationships/hyperlink" Target="mailto:esperanza.moreno@mininterior.gov.co" TargetMode="External"/><Relationship Id="rId185" Type="http://schemas.openxmlformats.org/officeDocument/2006/relationships/hyperlink" Target="mailto:rodolfo.vega@mininterior.gov.co" TargetMode="External"/><Relationship Id="rId350" Type="http://schemas.openxmlformats.org/officeDocument/2006/relationships/hyperlink" Target="mailto:idalmy.minotta@mininterior.gov.co" TargetMode="External"/><Relationship Id="rId9" Type="http://schemas.openxmlformats.org/officeDocument/2006/relationships/hyperlink" Target="mailto:yuly.manosalva@mininterior.gov.co" TargetMode="External"/><Relationship Id="rId210" Type="http://schemas.openxmlformats.org/officeDocument/2006/relationships/hyperlink" Target="mailto:edgar.gonzalez@mininterior.gov.co" TargetMode="External"/><Relationship Id="rId252" Type="http://schemas.openxmlformats.org/officeDocument/2006/relationships/hyperlink" Target="mailto:william.cruz@mininterior.gov.co" TargetMode="External"/><Relationship Id="rId294" Type="http://schemas.openxmlformats.org/officeDocument/2006/relationships/hyperlink" Target="mailto:german.carlosama@mininterior.gov.co" TargetMode="External"/><Relationship Id="rId308" Type="http://schemas.openxmlformats.org/officeDocument/2006/relationships/hyperlink" Target="mailto:german.carlosama@mininterior.gov.co" TargetMode="External"/><Relationship Id="rId47" Type="http://schemas.openxmlformats.org/officeDocument/2006/relationships/hyperlink" Target="mailto:edgar.gonzalez@mininterior.gov.co" TargetMode="External"/><Relationship Id="rId68" Type="http://schemas.openxmlformats.org/officeDocument/2006/relationships/hyperlink" Target="mailto:edgar.gonzalez@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33" Type="http://schemas.openxmlformats.org/officeDocument/2006/relationships/hyperlink" Target="mailto:edgar.gonzalez@mininterior.gov.co" TargetMode="External"/><Relationship Id="rId154" Type="http://schemas.openxmlformats.org/officeDocument/2006/relationships/hyperlink" Target="mailto:rodolfo.vega@mininterior.gov.co" TargetMode="External"/><Relationship Id="rId175" Type="http://schemas.openxmlformats.org/officeDocument/2006/relationships/hyperlink" Target="mailto:rodolfo.vega@mininterior.gov.co" TargetMode="External"/><Relationship Id="rId340" Type="http://schemas.openxmlformats.org/officeDocument/2006/relationships/hyperlink" Target="mailto:olga.salazar@mininterior.gov.co" TargetMode="External"/><Relationship Id="rId361" Type="http://schemas.openxmlformats.org/officeDocument/2006/relationships/hyperlink" Target="mailto:idalmy.minotta@mininterior.gov.co" TargetMode="External"/><Relationship Id="rId196" Type="http://schemas.openxmlformats.org/officeDocument/2006/relationships/hyperlink" Target="mailto:rodolfo.vega@mininterior.gov.co" TargetMode="External"/><Relationship Id="rId200" Type="http://schemas.openxmlformats.org/officeDocument/2006/relationships/hyperlink" Target="mailto:rodolfo.vega@mininterior.gov.co" TargetMode="External"/><Relationship Id="rId382" Type="http://schemas.openxmlformats.org/officeDocument/2006/relationships/hyperlink" Target="mailto:idalmy.minotta@mininterior.gov.co" TargetMode="External"/><Relationship Id="rId16" Type="http://schemas.openxmlformats.org/officeDocument/2006/relationships/hyperlink" Target="mailto:yuly.manosalva@mininterior.gov.co" TargetMode="External"/><Relationship Id="rId221" Type="http://schemas.openxmlformats.org/officeDocument/2006/relationships/hyperlink" Target="mailto:rodolfo.vega@mininterior.gov.co" TargetMode="External"/><Relationship Id="rId242" Type="http://schemas.openxmlformats.org/officeDocument/2006/relationships/hyperlink" Target="mailto:rodolfo.vega@mininterior.gov.co" TargetMode="External"/><Relationship Id="rId263" Type="http://schemas.openxmlformats.org/officeDocument/2006/relationships/hyperlink" Target="mailto:edgar.gonzalez@mininterior.gov.co" TargetMode="External"/><Relationship Id="rId284" Type="http://schemas.openxmlformats.org/officeDocument/2006/relationships/hyperlink" Target="mailto:edgar.gonzalez@mininterior.gov.co" TargetMode="External"/><Relationship Id="rId319" Type="http://schemas.openxmlformats.org/officeDocument/2006/relationships/hyperlink" Target="mailto:sandra.contreras@mininterior.gov.co" TargetMode="External"/><Relationship Id="rId37" Type="http://schemas.openxmlformats.org/officeDocument/2006/relationships/hyperlink" Target="mailto:edgar.gonzalez@mininterior.gov.co" TargetMode="External"/><Relationship Id="rId58" Type="http://schemas.openxmlformats.org/officeDocument/2006/relationships/hyperlink" Target="mailto:edgar.gonzalez@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23" Type="http://schemas.openxmlformats.org/officeDocument/2006/relationships/hyperlink" Target="mailto:edgar.gonzalez@mininterior.gov.co" TargetMode="External"/><Relationship Id="rId144" Type="http://schemas.openxmlformats.org/officeDocument/2006/relationships/hyperlink" Target="mailto:esperanza.moreno@mininterior.gov.co" TargetMode="External"/><Relationship Id="rId330" Type="http://schemas.openxmlformats.org/officeDocument/2006/relationships/hyperlink" Target="mailto:diana.vivas@mininterior.gov.co" TargetMode="External"/><Relationship Id="rId90" Type="http://schemas.openxmlformats.org/officeDocument/2006/relationships/hyperlink" Target="mailto:edgar.gonzalez@mininterior.gov.co" TargetMode="External"/><Relationship Id="rId165" Type="http://schemas.openxmlformats.org/officeDocument/2006/relationships/hyperlink" Target="mailto:rodolfo.vega@mininterior.gov.co" TargetMode="External"/><Relationship Id="rId186" Type="http://schemas.openxmlformats.org/officeDocument/2006/relationships/hyperlink" Target="mailto:rodolfo.vega@mininterior.gov.co" TargetMode="External"/><Relationship Id="rId351" Type="http://schemas.openxmlformats.org/officeDocument/2006/relationships/hyperlink" Target="mailto:idalmy.minotta@mininterior.gov.co" TargetMode="External"/><Relationship Id="rId372" Type="http://schemas.openxmlformats.org/officeDocument/2006/relationships/hyperlink" Target="mailto:idalmy.minotta@mininterior.gov.co" TargetMode="External"/><Relationship Id="rId211" Type="http://schemas.openxmlformats.org/officeDocument/2006/relationships/hyperlink" Target="mailto:amelia.cotes@mininterior.gov.co" TargetMode="External"/><Relationship Id="rId232" Type="http://schemas.openxmlformats.org/officeDocument/2006/relationships/hyperlink" Target="mailto:rodolfo.vega@mininterior.gov.co" TargetMode="External"/><Relationship Id="rId253" Type="http://schemas.openxmlformats.org/officeDocument/2006/relationships/hyperlink" Target="mailto:william.cruz@mininterior.gov.co" TargetMode="External"/><Relationship Id="rId274" Type="http://schemas.openxmlformats.org/officeDocument/2006/relationships/hyperlink" Target="mailto:edgar.gonzalez@mininterior.gov.co" TargetMode="External"/><Relationship Id="rId295" Type="http://schemas.openxmlformats.org/officeDocument/2006/relationships/hyperlink" Target="mailto:german.carlosama@mininterior.gov.co" TargetMode="External"/><Relationship Id="rId309" Type="http://schemas.openxmlformats.org/officeDocument/2006/relationships/hyperlink" Target="mailto:german.carlosama@mininterior.gov.co" TargetMode="External"/><Relationship Id="rId27" Type="http://schemas.openxmlformats.org/officeDocument/2006/relationships/hyperlink" Target="mailto:edgar.gonzalez@mininterior.gov.co" TargetMode="External"/><Relationship Id="rId48" Type="http://schemas.openxmlformats.org/officeDocument/2006/relationships/hyperlink" Target="mailto:edgar.gonzalez@mininterior.gov.co" TargetMode="External"/><Relationship Id="rId69" Type="http://schemas.openxmlformats.org/officeDocument/2006/relationships/hyperlink" Target="mailto:edgar.gonzalez@mininterior.gov.co" TargetMode="External"/><Relationship Id="rId113" Type="http://schemas.openxmlformats.org/officeDocument/2006/relationships/hyperlink" Target="mailto:edgar.gonzalez@mininterior.gov.co" TargetMode="External"/><Relationship Id="rId134" Type="http://schemas.openxmlformats.org/officeDocument/2006/relationships/hyperlink" Target="mailto:edgar.gonzalez@mininterior.gov.co" TargetMode="External"/><Relationship Id="rId320" Type="http://schemas.openxmlformats.org/officeDocument/2006/relationships/hyperlink" Target="mailto:franklin.castaneda@mininterior.gov.co" TargetMode="External"/><Relationship Id="rId80" Type="http://schemas.openxmlformats.org/officeDocument/2006/relationships/hyperlink" Target="mailto:edgar.gonzalez@mininterior.gov.co" TargetMode="External"/><Relationship Id="rId155" Type="http://schemas.openxmlformats.org/officeDocument/2006/relationships/hyperlink" Target="mailto:rodolfo.vega@mininterior.gov.co" TargetMode="External"/><Relationship Id="rId176" Type="http://schemas.openxmlformats.org/officeDocument/2006/relationships/hyperlink" Target="mailto:rodolfo.vega@mininterior.gov.co" TargetMode="External"/><Relationship Id="rId197" Type="http://schemas.openxmlformats.org/officeDocument/2006/relationships/hyperlink" Target="mailto:rodolfo.vega@mininterior.gov.co" TargetMode="External"/><Relationship Id="rId341" Type="http://schemas.openxmlformats.org/officeDocument/2006/relationships/hyperlink" Target="mailto:olga.salazar@mininterior.gov.co" TargetMode="External"/><Relationship Id="rId362" Type="http://schemas.openxmlformats.org/officeDocument/2006/relationships/hyperlink" Target="mailto:idalmy.minotta@mininterior.gov.co" TargetMode="External"/><Relationship Id="rId383" Type="http://schemas.openxmlformats.org/officeDocument/2006/relationships/hyperlink" Target="mailto:jarmandoserrano@mininterior.gov.co" TargetMode="External"/><Relationship Id="rId201" Type="http://schemas.openxmlformats.org/officeDocument/2006/relationships/hyperlink" Target="mailto:rodolfo.vega@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edgar.gonzalez@mininterior.gov.co" TargetMode="External"/><Relationship Id="rId285" Type="http://schemas.openxmlformats.org/officeDocument/2006/relationships/hyperlink" Target="mailto:edgar.gonzalez@mininterior.gov.co" TargetMode="External"/><Relationship Id="rId17" Type="http://schemas.openxmlformats.org/officeDocument/2006/relationships/hyperlink" Target="mailto:jarmando.serrano@mininterior.gov.co" TargetMode="External"/><Relationship Id="rId38" Type="http://schemas.openxmlformats.org/officeDocument/2006/relationships/hyperlink" Target="mailto:edgar.gonzalez@mininterior.gov.co" TargetMode="External"/><Relationship Id="rId59" Type="http://schemas.openxmlformats.org/officeDocument/2006/relationships/hyperlink" Target="mailto:edgar.gonzalez@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edgar.gonzalez@mininterior.gov.co" TargetMode="External"/><Relationship Id="rId70" Type="http://schemas.openxmlformats.org/officeDocument/2006/relationships/hyperlink" Target="mailto:edgar.gonzalez@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wlliam.cruz@mininterior.gov.co" TargetMode="External"/><Relationship Id="rId166" Type="http://schemas.openxmlformats.org/officeDocument/2006/relationships/hyperlink" Target="mailto:rodolfo.vega@mininterior.gov.co" TargetMode="External"/><Relationship Id="rId187" Type="http://schemas.openxmlformats.org/officeDocument/2006/relationships/hyperlink" Target="mailto:rodolfo.vega@mininterior.gov.co" TargetMode="External"/><Relationship Id="rId331" Type="http://schemas.openxmlformats.org/officeDocument/2006/relationships/hyperlink" Target="mailto:diana.vivas@mininterior.gov.co" TargetMode="External"/><Relationship Id="rId352" Type="http://schemas.openxmlformats.org/officeDocument/2006/relationships/hyperlink" Target="mailto:idalmy.minotta@mininterior.gov.co" TargetMode="External"/><Relationship Id="rId373" Type="http://schemas.openxmlformats.org/officeDocument/2006/relationships/hyperlink" Target="mailto:idalmy.minott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diana.vivas@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hermes.perez@mininterior.gov.co" TargetMode="External"/><Relationship Id="rId28" Type="http://schemas.openxmlformats.org/officeDocument/2006/relationships/hyperlink" Target="mailto:edgar.gonzalez@mininterior.gov.co" TargetMode="External"/><Relationship Id="rId49" Type="http://schemas.openxmlformats.org/officeDocument/2006/relationships/hyperlink" Target="mailto:edgar.gonzalez@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edgar.gonzalez@mininterior.gov.co" TargetMode="External"/><Relationship Id="rId296" Type="http://schemas.openxmlformats.org/officeDocument/2006/relationships/hyperlink" Target="mailto:german.carlosama@mininterior.gov.co" TargetMode="External"/><Relationship Id="rId300" Type="http://schemas.openxmlformats.org/officeDocument/2006/relationships/hyperlink" Target="mailto:german.carlosama@mininterior.gov.co" TargetMode="External"/><Relationship Id="rId60" Type="http://schemas.openxmlformats.org/officeDocument/2006/relationships/hyperlink" Target="mailto:edgar.gonzalez@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rodolfo.vega@mininterior.gov.co" TargetMode="External"/><Relationship Id="rId177" Type="http://schemas.openxmlformats.org/officeDocument/2006/relationships/hyperlink" Target="mailto:rodolfo.vega@mininterior.gov.co" TargetMode="External"/><Relationship Id="rId198" Type="http://schemas.openxmlformats.org/officeDocument/2006/relationships/hyperlink" Target="mailto:rodolfo.vega@mininterior.gov.co" TargetMode="External"/><Relationship Id="rId321" Type="http://schemas.openxmlformats.org/officeDocument/2006/relationships/hyperlink" Target="mailto:franklin.castaneda@mininterior.gov.co" TargetMode="External"/><Relationship Id="rId342" Type="http://schemas.openxmlformats.org/officeDocument/2006/relationships/hyperlink" Target="mailto:idalmy.minotta@mininterior.gov.co" TargetMode="External"/><Relationship Id="rId363" Type="http://schemas.openxmlformats.org/officeDocument/2006/relationships/hyperlink" Target="mailto:idalmy.minotta@mininterior.gov.co" TargetMode="External"/><Relationship Id="rId384" Type="http://schemas.openxmlformats.org/officeDocument/2006/relationships/hyperlink" Target="mailto:german.carlosama@mininterior.gov.co" TargetMode="External"/><Relationship Id="rId202" Type="http://schemas.openxmlformats.org/officeDocument/2006/relationships/hyperlink" Target="mailto:rodolfo.vega@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edgar.gonzalez@mininterior.gov.co" TargetMode="External"/><Relationship Id="rId18" Type="http://schemas.openxmlformats.org/officeDocument/2006/relationships/hyperlink" Target="mailto:yamel.ruiz@mininterior.gov.co" TargetMode="External"/><Relationship Id="rId39" Type="http://schemas.openxmlformats.org/officeDocument/2006/relationships/hyperlink" Target="mailto:edgar.gonzalez@mininterior.gov.co" TargetMode="External"/><Relationship Id="rId265" Type="http://schemas.openxmlformats.org/officeDocument/2006/relationships/hyperlink" Target="mailto:john.sabogal@mininterior.gov.co" TargetMode="External"/><Relationship Id="rId286" Type="http://schemas.openxmlformats.org/officeDocument/2006/relationships/hyperlink" Target="mailto:edgar.gonzalez@mininterior.gov.co" TargetMode="External"/><Relationship Id="rId50" Type="http://schemas.openxmlformats.org/officeDocument/2006/relationships/hyperlink" Target="mailto:edgar.gonzalez@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william.cruz@mininterior.gov.co" TargetMode="External"/><Relationship Id="rId167" Type="http://schemas.openxmlformats.org/officeDocument/2006/relationships/hyperlink" Target="mailto:rodolfo.vega@mininterior.gov.co" TargetMode="External"/><Relationship Id="rId188" Type="http://schemas.openxmlformats.org/officeDocument/2006/relationships/hyperlink" Target="mailto:rodolfo.vega@mininterior.gov.co" TargetMode="External"/><Relationship Id="rId311" Type="http://schemas.openxmlformats.org/officeDocument/2006/relationships/hyperlink" Target="mailto:eliecer.ortiz@mininterior.gov.co" TargetMode="External"/><Relationship Id="rId332" Type="http://schemas.openxmlformats.org/officeDocument/2006/relationships/hyperlink" Target="mailto:diana.vivas@mininterior.gov.co" TargetMode="External"/><Relationship Id="rId353" Type="http://schemas.openxmlformats.org/officeDocument/2006/relationships/hyperlink" Target="mailto:idalmy.minotta@mininterior.gov.co" TargetMode="External"/><Relationship Id="rId374" Type="http://schemas.openxmlformats.org/officeDocument/2006/relationships/hyperlink" Target="mailto:idalmy.minotta@mininterior.gov.co" TargetMode="External"/><Relationship Id="rId71" Type="http://schemas.openxmlformats.org/officeDocument/2006/relationships/hyperlink" Target="mailto:edgar.gonzalez@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sandra.contreras@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esperanza.moreno@mininterior.gov.co" TargetMode="External"/><Relationship Id="rId29" Type="http://schemas.openxmlformats.org/officeDocument/2006/relationships/hyperlink" Target="mailto:edgar.gonzalez@mininterior.gov.co" TargetMode="External"/><Relationship Id="rId255" Type="http://schemas.openxmlformats.org/officeDocument/2006/relationships/hyperlink" Target="mailto:hermes.perez@mininterior.gov.co" TargetMode="External"/><Relationship Id="rId276" Type="http://schemas.openxmlformats.org/officeDocument/2006/relationships/hyperlink" Target="mailto:edgar.gonzalez@mininterior.gov.co" TargetMode="External"/><Relationship Id="rId297" Type="http://schemas.openxmlformats.org/officeDocument/2006/relationships/hyperlink" Target="mailto:german.carlosama@mininterior.gov.co" TargetMode="External"/><Relationship Id="rId40" Type="http://schemas.openxmlformats.org/officeDocument/2006/relationships/hyperlink" Target="mailto:edgar.gonzalez@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rodolfo.vega@mininterior.gov.co" TargetMode="External"/><Relationship Id="rId178" Type="http://schemas.openxmlformats.org/officeDocument/2006/relationships/hyperlink" Target="mailto:rodolfo.vega@mininterior.gov.co" TargetMode="External"/><Relationship Id="rId301" Type="http://schemas.openxmlformats.org/officeDocument/2006/relationships/hyperlink" Target="mailto:german.carlosama@mininterior.gov.co" TargetMode="External"/><Relationship Id="rId322" Type="http://schemas.openxmlformats.org/officeDocument/2006/relationships/hyperlink" Target="mailto:franklin.castaneda@mininterior.gov.co" TargetMode="External"/><Relationship Id="rId343" Type="http://schemas.openxmlformats.org/officeDocument/2006/relationships/hyperlink" Target="mailto:idalmy.minotta@mininterior.gov.co" TargetMode="External"/><Relationship Id="rId364" Type="http://schemas.openxmlformats.org/officeDocument/2006/relationships/hyperlink" Target="mailto:idalmy.minotta@mininterior.gov.co" TargetMode="External"/><Relationship Id="rId61" Type="http://schemas.openxmlformats.org/officeDocument/2006/relationships/hyperlink" Target="mailto:edgar.gonzalez@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rodolfo.vega@mininterior.gov.co" TargetMode="External"/><Relationship Id="rId203" Type="http://schemas.openxmlformats.org/officeDocument/2006/relationships/hyperlink" Target="mailto:rodolfo.vega@mininterior.gov.co" TargetMode="External"/><Relationship Id="rId385" Type="http://schemas.openxmlformats.org/officeDocument/2006/relationships/printerSettings" Target="../printerSettings/printerSettings2.bin"/><Relationship Id="rId19" Type="http://schemas.openxmlformats.org/officeDocument/2006/relationships/hyperlink" Target="mailto:edgar.gonzalez@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diana.vivas@mininterior.gov.co" TargetMode="External"/><Relationship Id="rId266" Type="http://schemas.openxmlformats.org/officeDocument/2006/relationships/hyperlink" Target="mailto:john.sabogal@mininterior.gov.co" TargetMode="External"/><Relationship Id="rId287" Type="http://schemas.openxmlformats.org/officeDocument/2006/relationships/hyperlink" Target="mailto:edgar.gonzalez@mininterior.gov.co" TargetMode="External"/><Relationship Id="rId30" Type="http://schemas.openxmlformats.org/officeDocument/2006/relationships/hyperlink" Target="mailto:edgar.gonzalez@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rodolfo.vega@mininterior.gov.co" TargetMode="External"/><Relationship Id="rId168" Type="http://schemas.openxmlformats.org/officeDocument/2006/relationships/hyperlink" Target="mailto:rodolfo.vega@mininterior.gov.co" TargetMode="External"/><Relationship Id="rId312" Type="http://schemas.openxmlformats.org/officeDocument/2006/relationships/hyperlink" Target="mailto:eliecer.ortiz@mininterior.gov.co" TargetMode="External"/><Relationship Id="rId333" Type="http://schemas.openxmlformats.org/officeDocument/2006/relationships/hyperlink" Target="mailto:diana.vivas@mininterior.gov.co" TargetMode="External"/><Relationship Id="rId354" Type="http://schemas.openxmlformats.org/officeDocument/2006/relationships/hyperlink" Target="mailto:idalmy.minotta@mininterior.gov.co" TargetMode="External"/><Relationship Id="rId51" Type="http://schemas.openxmlformats.org/officeDocument/2006/relationships/hyperlink" Target="mailto:edgar.gonzalez@mininterior.gov.co" TargetMode="External"/><Relationship Id="rId72" Type="http://schemas.openxmlformats.org/officeDocument/2006/relationships/hyperlink" Target="mailto:edgar.gonzalez@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rodolfo.vega@mininterior.gov.co" TargetMode="External"/><Relationship Id="rId375" Type="http://schemas.openxmlformats.org/officeDocument/2006/relationships/hyperlink" Target="mailto:idalmy.minotta@mininterior.gov.co" TargetMode="External"/><Relationship Id="rId3" Type="http://schemas.openxmlformats.org/officeDocument/2006/relationships/hyperlink" Target="mailto:diana.vivas@mininterior.gov.co" TargetMode="External"/><Relationship Id="rId214" Type="http://schemas.openxmlformats.org/officeDocument/2006/relationships/hyperlink" Target="mailto:edgar.gonzalez@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hermes.perez@mininterior.gov.co" TargetMode="External"/><Relationship Id="rId277" Type="http://schemas.openxmlformats.org/officeDocument/2006/relationships/hyperlink" Target="mailto:edgar.gonzalez@mininterior.gov.co" TargetMode="External"/><Relationship Id="rId298" Type="http://schemas.openxmlformats.org/officeDocument/2006/relationships/hyperlink" Target="mailto:german.carlosama@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rodolfo.vega@mininterior.gov.co" TargetMode="External"/><Relationship Id="rId302" Type="http://schemas.openxmlformats.org/officeDocument/2006/relationships/hyperlink" Target="mailto:german.carlosama@mininterior.gov.co" TargetMode="External"/><Relationship Id="rId323" Type="http://schemas.openxmlformats.org/officeDocument/2006/relationships/hyperlink" Target="mailto:franklin.castaneda@mininterior.gov.co" TargetMode="External"/><Relationship Id="rId344" Type="http://schemas.openxmlformats.org/officeDocument/2006/relationships/hyperlink" Target="mailto:idalmy.minotta@mininterior.gov.co" TargetMode="External"/><Relationship Id="rId20" Type="http://schemas.openxmlformats.org/officeDocument/2006/relationships/hyperlink" Target="mailto:edgar.gonzalez@mininterior.gov.co" TargetMode="External"/><Relationship Id="rId41" Type="http://schemas.openxmlformats.org/officeDocument/2006/relationships/hyperlink" Target="mailto:edgar.gonzalez@mininterior.gov.co" TargetMode="External"/><Relationship Id="rId62" Type="http://schemas.openxmlformats.org/officeDocument/2006/relationships/hyperlink" Target="mailto:edgar.gonzalez@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rodolfo.vega@mininterior.gov.co" TargetMode="External"/><Relationship Id="rId365" Type="http://schemas.openxmlformats.org/officeDocument/2006/relationships/hyperlink" Target="mailto:idalmy.minotta@mininterior.gov.co" TargetMode="External"/><Relationship Id="rId386" Type="http://schemas.openxmlformats.org/officeDocument/2006/relationships/drawing" Target="../drawings/drawing2.xml"/><Relationship Id="rId190" Type="http://schemas.openxmlformats.org/officeDocument/2006/relationships/hyperlink" Target="mailto:rodolfo.vega@mininterior.gov.co" TargetMode="External"/><Relationship Id="rId204" Type="http://schemas.openxmlformats.org/officeDocument/2006/relationships/hyperlink" Target="mailto:rodolfo.vega@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amelia.cotes@mininterior.gov.co" TargetMode="External"/><Relationship Id="rId267" Type="http://schemas.openxmlformats.org/officeDocument/2006/relationships/hyperlink" Target="mailto:hermes.perez@mininterior.gov.co" TargetMode="External"/><Relationship Id="rId288" Type="http://schemas.openxmlformats.org/officeDocument/2006/relationships/hyperlink" Target="mailto:edgar.gonzalez@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edgar.gonzalez@mininterior.gov.co" TargetMode="External"/><Relationship Id="rId10" Type="http://schemas.openxmlformats.org/officeDocument/2006/relationships/hyperlink" Target="mailto:yuly.manosalva@mininterior.gov.co" TargetMode="External"/><Relationship Id="rId31" Type="http://schemas.openxmlformats.org/officeDocument/2006/relationships/hyperlink" Target="mailto:edgar.gonzalez@mininterior.gov.co" TargetMode="External"/><Relationship Id="rId52" Type="http://schemas.openxmlformats.org/officeDocument/2006/relationships/hyperlink" Target="mailto:edgar.gonzalez@mininterior.gov.co" TargetMode="External"/><Relationship Id="rId73" Type="http://schemas.openxmlformats.org/officeDocument/2006/relationships/hyperlink" Target="mailto:edgar.gonzalez@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rodolfo.vega@mininterior.gov.co" TargetMode="External"/><Relationship Id="rId169" Type="http://schemas.openxmlformats.org/officeDocument/2006/relationships/hyperlink" Target="mailto:rodolfo.vega@mininterior.gov.co" TargetMode="External"/><Relationship Id="rId334" Type="http://schemas.openxmlformats.org/officeDocument/2006/relationships/hyperlink" Target="mailto:diana.vivas@mininterior.gov.co" TargetMode="External"/><Relationship Id="rId355" Type="http://schemas.openxmlformats.org/officeDocument/2006/relationships/hyperlink" Target="mailto:idalmy.minotta@mininterior.gov.co" TargetMode="External"/><Relationship Id="rId376" Type="http://schemas.openxmlformats.org/officeDocument/2006/relationships/hyperlink" Target="mailto:idalmy.minotta@mininterior.gov.co" TargetMode="External"/><Relationship Id="rId4" Type="http://schemas.openxmlformats.org/officeDocument/2006/relationships/hyperlink" Target="mailto:jarmandoserrano@mininterior.gov.co" TargetMode="External"/><Relationship Id="rId180" Type="http://schemas.openxmlformats.org/officeDocument/2006/relationships/hyperlink" Target="mailto:rodolfo.vega@mininterior.gov.co" TargetMode="External"/><Relationship Id="rId215" Type="http://schemas.openxmlformats.org/officeDocument/2006/relationships/hyperlink" Target="mailto:alvaro.echeverry@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hermes.perez@mininterior.gov.co" TargetMode="External"/><Relationship Id="rId278" Type="http://schemas.openxmlformats.org/officeDocument/2006/relationships/hyperlink" Target="mailto:edgar.gonzalez@mininterior.gov.co" TargetMode="External"/><Relationship Id="rId303" Type="http://schemas.openxmlformats.org/officeDocument/2006/relationships/hyperlink" Target="mailto:german.carlosama@mininterior.gov.co" TargetMode="External"/><Relationship Id="rId42" Type="http://schemas.openxmlformats.org/officeDocument/2006/relationships/hyperlink" Target="mailto:edgar.gonzalez@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idalmy.minotta@mininterior.gov.co" TargetMode="External"/><Relationship Id="rId191" Type="http://schemas.openxmlformats.org/officeDocument/2006/relationships/hyperlink" Target="mailto:rodolfo.vega@mininterior.gov.co" TargetMode="External"/><Relationship Id="rId205" Type="http://schemas.openxmlformats.org/officeDocument/2006/relationships/hyperlink" Target="mailto:rodolfo.vega@mininterior.gov.co" TargetMode="External"/><Relationship Id="rId247" Type="http://schemas.openxmlformats.org/officeDocument/2006/relationships/hyperlink" Target="mailto:willia.cruz@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german.carlosama@mininterior.gov.co" TargetMode="External"/><Relationship Id="rId11" Type="http://schemas.openxmlformats.org/officeDocument/2006/relationships/hyperlink" Target="mailto:yuly.manosalva@mininterior.gov.co" TargetMode="External"/><Relationship Id="rId53" Type="http://schemas.openxmlformats.org/officeDocument/2006/relationships/hyperlink" Target="mailto:edgar.gonzalez@mininterior.gov.co" TargetMode="External"/><Relationship Id="rId149" Type="http://schemas.openxmlformats.org/officeDocument/2006/relationships/hyperlink" Target="mailto:rodolfo.vega@mininterior.gov.co" TargetMode="External"/><Relationship Id="rId314" Type="http://schemas.openxmlformats.org/officeDocument/2006/relationships/hyperlink" Target="mailto:idalmy.minotta@mininterior.gov.co" TargetMode="External"/><Relationship Id="rId356" Type="http://schemas.openxmlformats.org/officeDocument/2006/relationships/hyperlink" Target="mailto:idalmy.minotta@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rodolfo.vega@mininterior.gov.co" TargetMode="External"/><Relationship Id="rId216" Type="http://schemas.openxmlformats.org/officeDocument/2006/relationships/hyperlink" Target="mailto:esperanza.moreno@mininterior.gov.co" TargetMode="External"/><Relationship Id="rId258" Type="http://schemas.openxmlformats.org/officeDocument/2006/relationships/hyperlink" Target="mailto:hermes.perez@mininterior.gov.co" TargetMode="External"/><Relationship Id="rId22" Type="http://schemas.openxmlformats.org/officeDocument/2006/relationships/hyperlink" Target="mailto:edgar.gonzalez@mininterior.gov.co" TargetMode="External"/><Relationship Id="rId64" Type="http://schemas.openxmlformats.org/officeDocument/2006/relationships/hyperlink" Target="mailto:edgar.gonzalez@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franklin.castaneda@mininterior.gov.co" TargetMode="External"/><Relationship Id="rId367" Type="http://schemas.openxmlformats.org/officeDocument/2006/relationships/hyperlink" Target="mailto:idalmy.minotta@mininterior.gov.co" TargetMode="External"/><Relationship Id="rId171" Type="http://schemas.openxmlformats.org/officeDocument/2006/relationships/hyperlink" Target="mailto:rodolfo.vega@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edgar.gonzalez@mininterior.gov.co" TargetMode="External"/><Relationship Id="rId33" Type="http://schemas.openxmlformats.org/officeDocument/2006/relationships/hyperlink" Target="mailto:edgar.gonzalez@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edgar.gonzalez@mininterior.gov.co" TargetMode="External"/><Relationship Id="rId336" Type="http://schemas.openxmlformats.org/officeDocument/2006/relationships/hyperlink" Target="mailto:diana.vivas@mininterior.gov.co" TargetMode="External"/><Relationship Id="rId75" Type="http://schemas.openxmlformats.org/officeDocument/2006/relationships/hyperlink" Target="mailto:edgar.gonzalez@mininterior.gov.co" TargetMode="External"/><Relationship Id="rId140" Type="http://schemas.openxmlformats.org/officeDocument/2006/relationships/hyperlink" Target="mailto:esperanza.moreno@mininterior.gov.co" TargetMode="External"/><Relationship Id="rId182" Type="http://schemas.openxmlformats.org/officeDocument/2006/relationships/hyperlink" Target="mailto:rodolfo.vega@mininterior.gov.co" TargetMode="External"/><Relationship Id="rId378" Type="http://schemas.openxmlformats.org/officeDocument/2006/relationships/hyperlink" Target="mailto:idalmy.minotta@mininterior.gov.co" TargetMode="External"/><Relationship Id="rId6" Type="http://schemas.openxmlformats.org/officeDocument/2006/relationships/hyperlink" Target="mailto:yuly.manosalva@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german.carlosama@mininterior.gov.co" TargetMode="External"/><Relationship Id="rId305" Type="http://schemas.openxmlformats.org/officeDocument/2006/relationships/hyperlink" Target="mailto:german.carlosama@mininterior.gov.co" TargetMode="External"/><Relationship Id="rId347" Type="http://schemas.openxmlformats.org/officeDocument/2006/relationships/hyperlink" Target="mailto:idalmy.minotta@mininterior.gov.co" TargetMode="External"/><Relationship Id="rId44" Type="http://schemas.openxmlformats.org/officeDocument/2006/relationships/hyperlink" Target="mailto:edgar.gonzalez@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rodolfo.vega@mininterior.gov.co" TargetMode="External"/><Relationship Id="rId193" Type="http://schemas.openxmlformats.org/officeDocument/2006/relationships/hyperlink" Target="mailto:rodolfo.vega@mininterior.gov.co" TargetMode="External"/><Relationship Id="rId207" Type="http://schemas.openxmlformats.org/officeDocument/2006/relationships/hyperlink" Target="mailto:yuly.manosalva@mininterior.gov.co" TargetMode="External"/><Relationship Id="rId249" Type="http://schemas.openxmlformats.org/officeDocument/2006/relationships/hyperlink" Target="mailto:william.cruz@mininterior.gov.co" TargetMode="External"/><Relationship Id="rId13" Type="http://schemas.openxmlformats.org/officeDocument/2006/relationships/hyperlink" Target="mailto:yuly.manosalva@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edgar.gonzalez@mininterior.gov.co" TargetMode="External"/><Relationship Id="rId316" Type="http://schemas.openxmlformats.org/officeDocument/2006/relationships/hyperlink" Target="mailto:edgar.gonzalez@mininterior.gov.co" TargetMode="External"/><Relationship Id="rId55" Type="http://schemas.openxmlformats.org/officeDocument/2006/relationships/hyperlink" Target="mailto:edgar.gonzalez@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358" Type="http://schemas.openxmlformats.org/officeDocument/2006/relationships/hyperlink" Target="mailto:idalmy.minotta@mininterior.gov.co" TargetMode="External"/><Relationship Id="rId162" Type="http://schemas.openxmlformats.org/officeDocument/2006/relationships/hyperlink" Target="mailto:rodolfo.vega@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eliecer.ortiz@mininterior.gov.co" TargetMode="External"/><Relationship Id="rId24" Type="http://schemas.openxmlformats.org/officeDocument/2006/relationships/hyperlink" Target="mailto:edgar.gonzalez@mininterior.gov.co" TargetMode="External"/><Relationship Id="rId66" Type="http://schemas.openxmlformats.org/officeDocument/2006/relationships/hyperlink" Target="mailto:edgar.gonzalez@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franklin.castaneda@mininterior.gov.co" TargetMode="External"/><Relationship Id="rId369" Type="http://schemas.openxmlformats.org/officeDocument/2006/relationships/hyperlink" Target="mailto:idalmy.minotta@mininterior.gov.co" TargetMode="External"/><Relationship Id="rId173" Type="http://schemas.openxmlformats.org/officeDocument/2006/relationships/hyperlink" Target="mailto:rodolfo.vega@mininterior.gov.co" TargetMode="External"/><Relationship Id="rId229" Type="http://schemas.openxmlformats.org/officeDocument/2006/relationships/hyperlink" Target="mailto:rodolfo.vega@mininterior.gov.co" TargetMode="External"/><Relationship Id="rId380" Type="http://schemas.openxmlformats.org/officeDocument/2006/relationships/hyperlink" Target="mailto:idalmy.minotta@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edgar.gonzalez@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german.carlosama@mininterior.gov.co" TargetMode="External"/><Relationship Id="rId338" Type="http://schemas.openxmlformats.org/officeDocument/2006/relationships/hyperlink" Target="mailto:franklin.castaneda@mininterior.gov.co" TargetMode="External"/><Relationship Id="rId8" Type="http://schemas.openxmlformats.org/officeDocument/2006/relationships/hyperlink" Target="mailto:yuly.manosalva@mininterior.gov.co" TargetMode="External"/><Relationship Id="rId142" Type="http://schemas.openxmlformats.org/officeDocument/2006/relationships/hyperlink" Target="mailto:esperanza.moreno@mininterior.gov.co" TargetMode="External"/><Relationship Id="rId184" Type="http://schemas.openxmlformats.org/officeDocument/2006/relationships/hyperlink" Target="mailto:rodolfo.vega@mininterior.gov.co" TargetMode="External"/><Relationship Id="rId251" Type="http://schemas.openxmlformats.org/officeDocument/2006/relationships/hyperlink" Target="mailto:william.cruz@mininterior.gov.co" TargetMode="External"/><Relationship Id="rId46" Type="http://schemas.openxmlformats.org/officeDocument/2006/relationships/hyperlink" Target="mailto:edgar.gonzalez@mininterior.gov.co" TargetMode="External"/><Relationship Id="rId293" Type="http://schemas.openxmlformats.org/officeDocument/2006/relationships/hyperlink" Target="mailto:german.carlosama@mininterior.gov.co" TargetMode="External"/><Relationship Id="rId307" Type="http://schemas.openxmlformats.org/officeDocument/2006/relationships/hyperlink" Target="mailto:german.carlosama@mininterior.gov.co" TargetMode="External"/><Relationship Id="rId349" Type="http://schemas.openxmlformats.org/officeDocument/2006/relationships/hyperlink" Target="mailto:idalmy.minotta@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53" Type="http://schemas.openxmlformats.org/officeDocument/2006/relationships/hyperlink" Target="mailto:rodolfo.vega@mininterior.gov.co" TargetMode="External"/><Relationship Id="rId195" Type="http://schemas.openxmlformats.org/officeDocument/2006/relationships/hyperlink" Target="mailto:rodolfo.vega@mininterior.gov.co" TargetMode="External"/><Relationship Id="rId209" Type="http://schemas.openxmlformats.org/officeDocument/2006/relationships/hyperlink" Target="mailto:edgar.gonzalez@mininterior.gov.co" TargetMode="External"/><Relationship Id="rId360" Type="http://schemas.openxmlformats.org/officeDocument/2006/relationships/hyperlink" Target="mailto:idalmy.minotta@mininterior.gov.co" TargetMode="External"/><Relationship Id="rId220" Type="http://schemas.openxmlformats.org/officeDocument/2006/relationships/hyperlink" Target="mailto:rodolfo.vega@mininterior.gov.co" TargetMode="External"/><Relationship Id="rId15" Type="http://schemas.openxmlformats.org/officeDocument/2006/relationships/hyperlink" Target="mailto:yuly.manosalva@mininterior.gov.co" TargetMode="External"/><Relationship Id="rId57" Type="http://schemas.openxmlformats.org/officeDocument/2006/relationships/hyperlink" Target="mailto:edgar.gonzalez@mininterior.gov.co" TargetMode="External"/><Relationship Id="rId262" Type="http://schemas.openxmlformats.org/officeDocument/2006/relationships/hyperlink" Target="mailto:edgar.gonzalez@mininterior.gov.co" TargetMode="External"/><Relationship Id="rId318" Type="http://schemas.openxmlformats.org/officeDocument/2006/relationships/hyperlink" Target="mailto:dora.carodsc@mininterior.gov.co" TargetMode="External"/><Relationship Id="rId99"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64" Type="http://schemas.openxmlformats.org/officeDocument/2006/relationships/hyperlink" Target="mailto:rodolfo.vega@mininterior.gov.co" TargetMode="External"/><Relationship Id="rId371" Type="http://schemas.openxmlformats.org/officeDocument/2006/relationships/hyperlink" Target="mailto:idalmy.minotta@mininterior.gov.co" TargetMode="External"/><Relationship Id="rId26" Type="http://schemas.openxmlformats.org/officeDocument/2006/relationships/hyperlink" Target="mailto:edgar.gonzalez@mininterior.gov.co" TargetMode="External"/><Relationship Id="rId231" Type="http://schemas.openxmlformats.org/officeDocument/2006/relationships/hyperlink" Target="mailto:rodolfo.vega@mininterior.gov.co" TargetMode="External"/><Relationship Id="rId273" Type="http://schemas.openxmlformats.org/officeDocument/2006/relationships/hyperlink" Target="mailto:edgar.gonzalez@mininterior.gov.co" TargetMode="External"/><Relationship Id="rId329" Type="http://schemas.openxmlformats.org/officeDocument/2006/relationships/hyperlink" Target="mailto:franklin.castaneda@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abSelected="1" topLeftCell="A6" workbookViewId="0">
      <selection activeCell="C13" sqref="C13"/>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41" t="s">
        <v>211</v>
      </c>
      <c r="C1" s="142"/>
      <c r="D1" s="142"/>
      <c r="E1" s="142"/>
      <c r="F1" s="142"/>
      <c r="G1" s="142"/>
      <c r="H1" s="142"/>
      <c r="I1" s="143"/>
    </row>
    <row r="2" spans="1:9" s="7" customFormat="1" ht="16.5" thickBot="1" x14ac:dyDescent="0.3">
      <c r="A2" s="6"/>
      <c r="B2" s="144" t="s">
        <v>0</v>
      </c>
      <c r="C2" s="144"/>
      <c r="D2" s="144"/>
      <c r="E2" s="144"/>
      <c r="F2" s="144"/>
      <c r="G2" s="144"/>
      <c r="H2" s="144"/>
      <c r="I2" s="144"/>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45"/>
      <c r="H7" s="145"/>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46" t="s">
        <v>15</v>
      </c>
      <c r="E9" s="147"/>
      <c r="F9" s="147"/>
      <c r="G9" s="147"/>
      <c r="H9" s="147"/>
      <c r="I9" s="148"/>
    </row>
    <row r="10" spans="1:9" s="7" customFormat="1" ht="47.25" x14ac:dyDescent="0.2">
      <c r="A10" s="6"/>
      <c r="B10" s="96" t="s">
        <v>16</v>
      </c>
      <c r="C10" s="89" t="s">
        <v>592</v>
      </c>
      <c r="D10" s="149"/>
      <c r="E10" s="150"/>
      <c r="F10" s="150"/>
      <c r="G10" s="150"/>
      <c r="H10" s="150"/>
      <c r="I10" s="151"/>
    </row>
    <row r="11" spans="1:9" s="7" customFormat="1" ht="47.25" x14ac:dyDescent="0.2">
      <c r="A11" s="6"/>
      <c r="B11" s="96" t="s">
        <v>17</v>
      </c>
      <c r="C11" s="89" t="s">
        <v>584</v>
      </c>
      <c r="D11" s="149"/>
      <c r="E11" s="150"/>
      <c r="F11" s="150"/>
      <c r="G11" s="150"/>
      <c r="H11" s="150"/>
      <c r="I11" s="151"/>
    </row>
    <row r="12" spans="1:9" s="7" customFormat="1" ht="32.25" thickBot="1" x14ac:dyDescent="0.25">
      <c r="A12" s="6"/>
      <c r="B12" s="100" t="s">
        <v>18</v>
      </c>
      <c r="C12" s="91">
        <v>45509</v>
      </c>
      <c r="D12" s="152"/>
      <c r="E12" s="153"/>
      <c r="F12" s="153"/>
      <c r="G12" s="153"/>
      <c r="H12" s="153"/>
      <c r="I12" s="154"/>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6D8B8-2AAD-4F95-B44F-1FF38C2CC7A5}">
  <sheetPr>
    <pageSetUpPr fitToPage="1"/>
  </sheetPr>
  <dimension ref="A1:XFB838"/>
  <sheetViews>
    <sheetView topLeftCell="O1" zoomScale="70" zoomScaleNormal="70" workbookViewId="0">
      <pane ySplit="6" topLeftCell="A819" activePane="bottomLeft" state="frozen"/>
      <selection pane="bottomLeft" activeCell="P819" sqref="P819"/>
    </sheetView>
  </sheetViews>
  <sheetFormatPr baseColWidth="10" defaultColWidth="16.42578125" defaultRowHeight="15" customHeight="1" x14ac:dyDescent="0.2"/>
  <cols>
    <col min="1" max="1" width="16.42578125" style="118"/>
    <col min="2" max="2" width="7.85546875" style="118" customWidth="1"/>
    <col min="3" max="3" width="51.85546875" style="119" customWidth="1"/>
    <col min="4" max="4" width="23.85546875" style="119" customWidth="1"/>
    <col min="5" max="5" width="23.140625" style="120" customWidth="1"/>
    <col min="6" max="6" width="18.28515625" style="120" customWidth="1"/>
    <col min="7" max="7" width="23.140625" style="120" customWidth="1"/>
    <col min="8" max="8" width="36.5703125" style="121" customWidth="1"/>
    <col min="9" max="9" width="57.28515625" style="122" customWidth="1"/>
    <col min="10" max="10" width="16.7109375" style="109" customWidth="1"/>
    <col min="11" max="11" width="17.85546875" style="109" customWidth="1"/>
    <col min="12" max="12" width="15" style="109" customWidth="1"/>
    <col min="13" max="13" width="17.140625" style="118" customWidth="1"/>
    <col min="14" max="14" width="26.42578125" style="118" customWidth="1"/>
    <col min="15" max="15" width="58.5703125" style="109" customWidth="1"/>
    <col min="16" max="16" width="19.5703125" style="109" customWidth="1"/>
    <col min="17" max="17" width="23.5703125" style="120" customWidth="1"/>
    <col min="18" max="18" width="34.42578125" style="120" customWidth="1"/>
    <col min="19" max="19" width="21.28515625" style="118" customWidth="1"/>
    <col min="20" max="20" width="19.5703125" style="118" customWidth="1"/>
    <col min="21" max="21" width="45.85546875" style="109" customWidth="1"/>
    <col min="22" max="22" width="18.42578125" style="118" customWidth="1"/>
    <col min="23" max="23" width="24.85546875" style="109" customWidth="1"/>
    <col min="24" max="24" width="31.85546875" style="119" customWidth="1"/>
    <col min="25" max="25" width="32.7109375" style="118" customWidth="1"/>
    <col min="26" max="26" width="44.42578125" style="119" customWidth="1"/>
    <col min="27" max="46" width="10.42578125" style="109" customWidth="1"/>
    <col min="47" max="16384" width="16.42578125" style="109"/>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28"/>
      <c r="AB1" s="128"/>
      <c r="AC1" s="128"/>
      <c r="AD1" s="128"/>
      <c r="AE1" s="128"/>
      <c r="AF1" s="128"/>
      <c r="AG1" s="128"/>
      <c r="AH1" s="128"/>
      <c r="AI1" s="128"/>
      <c r="AJ1" s="128"/>
      <c r="AK1" s="128"/>
      <c r="AL1" s="128"/>
      <c r="AM1" s="128"/>
      <c r="AN1" s="128"/>
      <c r="AO1" s="128"/>
      <c r="AP1" s="128"/>
      <c r="AQ1" s="128"/>
      <c r="AR1" s="128"/>
      <c r="AS1" s="128"/>
      <c r="AT1" s="128"/>
    </row>
    <row r="2" spans="1:46" ht="36" customHeight="1" x14ac:dyDescent="0.2">
      <c r="A2" s="102"/>
      <c r="B2" s="110"/>
      <c r="C2" s="111"/>
      <c r="D2" s="111"/>
      <c r="E2" s="113"/>
      <c r="F2" s="113"/>
      <c r="G2" s="113"/>
      <c r="H2" s="114"/>
      <c r="I2" s="115"/>
      <c r="J2" s="112"/>
      <c r="K2" s="112"/>
      <c r="L2" s="112"/>
      <c r="M2" s="110"/>
      <c r="N2" s="110"/>
      <c r="O2" s="112"/>
      <c r="P2" s="112"/>
      <c r="Q2" s="113"/>
      <c r="R2" s="113"/>
      <c r="S2" s="110"/>
      <c r="T2" s="110"/>
      <c r="U2" s="112"/>
      <c r="V2" s="110"/>
      <c r="W2" s="112"/>
      <c r="X2" s="111"/>
      <c r="Y2" s="110"/>
      <c r="Z2" s="111"/>
      <c r="AA2" s="128"/>
      <c r="AB2" s="128"/>
      <c r="AC2" s="128"/>
      <c r="AD2" s="128"/>
      <c r="AE2" s="128"/>
      <c r="AF2" s="128"/>
      <c r="AG2" s="128"/>
      <c r="AH2" s="128"/>
      <c r="AI2" s="128"/>
      <c r="AJ2" s="128"/>
      <c r="AK2" s="128"/>
      <c r="AL2" s="128"/>
      <c r="AM2" s="128"/>
      <c r="AN2" s="128"/>
      <c r="AO2" s="128"/>
      <c r="AP2" s="128"/>
      <c r="AQ2" s="128"/>
      <c r="AR2" s="128"/>
      <c r="AS2" s="128"/>
      <c r="AT2" s="128"/>
    </row>
    <row r="3" spans="1:46" ht="11.25" customHeight="1" x14ac:dyDescent="0.2">
      <c r="A3" s="102"/>
      <c r="B3" s="110"/>
      <c r="C3" s="111"/>
      <c r="D3" s="111"/>
      <c r="E3" s="113"/>
      <c r="F3" s="113"/>
      <c r="G3" s="113"/>
      <c r="H3" s="114"/>
      <c r="I3" s="115"/>
      <c r="J3" s="112"/>
      <c r="K3" s="112"/>
      <c r="L3" s="112"/>
      <c r="M3" s="110"/>
      <c r="N3" s="110"/>
      <c r="O3" s="112"/>
      <c r="P3" s="112"/>
      <c r="Q3" s="113"/>
      <c r="R3" s="113"/>
      <c r="S3" s="110"/>
      <c r="T3" s="110"/>
      <c r="U3" s="112"/>
      <c r="V3" s="110"/>
      <c r="W3" s="112"/>
      <c r="X3" s="111"/>
      <c r="Y3" s="110"/>
      <c r="Z3" s="111"/>
      <c r="AA3" s="128"/>
      <c r="AB3" s="128"/>
      <c r="AC3" s="128"/>
      <c r="AD3" s="128"/>
      <c r="AE3" s="128"/>
      <c r="AF3" s="128"/>
      <c r="AG3" s="128"/>
      <c r="AH3" s="128"/>
      <c r="AI3" s="128"/>
      <c r="AJ3" s="128"/>
      <c r="AK3" s="128"/>
      <c r="AL3" s="128"/>
      <c r="AM3" s="128"/>
      <c r="AN3" s="128"/>
      <c r="AO3" s="128"/>
      <c r="AP3" s="128"/>
      <c r="AQ3" s="128"/>
      <c r="AR3" s="128"/>
      <c r="AS3" s="128"/>
      <c r="AT3" s="128"/>
    </row>
    <row r="4" spans="1:46" ht="19.5" customHeight="1" x14ac:dyDescent="0.2">
      <c r="A4" s="102"/>
      <c r="B4" s="110"/>
      <c r="C4" s="111"/>
      <c r="D4" s="111"/>
      <c r="E4" s="113"/>
      <c r="F4" s="113"/>
      <c r="G4" s="113"/>
      <c r="H4" s="114"/>
      <c r="I4" s="115"/>
      <c r="J4" s="112"/>
      <c r="K4" s="112"/>
      <c r="L4" s="112"/>
      <c r="M4" s="110" t="s">
        <v>215</v>
      </c>
      <c r="N4" s="110"/>
      <c r="O4" s="112" t="s">
        <v>215</v>
      </c>
      <c r="P4" s="112" t="s">
        <v>215</v>
      </c>
      <c r="Q4" s="113" t="s">
        <v>215</v>
      </c>
      <c r="R4" s="113" t="s">
        <v>215</v>
      </c>
      <c r="S4" s="110"/>
      <c r="T4" s="110" t="s">
        <v>215</v>
      </c>
      <c r="U4" s="112" t="s">
        <v>215</v>
      </c>
      <c r="V4" s="110" t="s">
        <v>215</v>
      </c>
      <c r="W4" s="112" t="s">
        <v>215</v>
      </c>
      <c r="X4" s="111"/>
      <c r="Y4" s="110"/>
      <c r="Z4" s="111"/>
      <c r="AA4" s="128"/>
      <c r="AB4" s="128"/>
      <c r="AC4" s="128"/>
      <c r="AD4" s="128"/>
      <c r="AE4" s="128"/>
      <c r="AF4" s="128"/>
      <c r="AG4" s="128"/>
      <c r="AH4" s="128"/>
      <c r="AI4" s="128"/>
      <c r="AJ4" s="128"/>
      <c r="AK4" s="128"/>
      <c r="AL4" s="128"/>
      <c r="AM4" s="128"/>
      <c r="AN4" s="128"/>
      <c r="AO4" s="128"/>
      <c r="AP4" s="128"/>
      <c r="AQ4" s="128"/>
      <c r="AR4" s="128"/>
      <c r="AS4" s="128"/>
      <c r="AT4" s="128"/>
    </row>
    <row r="5" spans="1:46" s="130" customFormat="1" ht="71.25" customHeight="1" x14ac:dyDescent="0.2">
      <c r="A5" s="157" t="s">
        <v>19</v>
      </c>
      <c r="B5" s="157" t="s">
        <v>20</v>
      </c>
      <c r="C5" s="157" t="s">
        <v>177</v>
      </c>
      <c r="D5" s="157" t="s">
        <v>178</v>
      </c>
      <c r="E5" s="159" t="s">
        <v>179</v>
      </c>
      <c r="F5" s="160"/>
      <c r="G5" s="161"/>
      <c r="H5" s="162" t="s">
        <v>1024</v>
      </c>
      <c r="I5" s="164" t="s">
        <v>181</v>
      </c>
      <c r="J5" s="155" t="s">
        <v>21</v>
      </c>
      <c r="K5" s="155" t="s">
        <v>22</v>
      </c>
      <c r="L5" s="155" t="s">
        <v>23</v>
      </c>
      <c r="M5" s="155" t="s">
        <v>24</v>
      </c>
      <c r="N5" s="155" t="s">
        <v>182</v>
      </c>
      <c r="O5" s="155" t="s">
        <v>25</v>
      </c>
      <c r="P5" s="155" t="s">
        <v>26</v>
      </c>
      <c r="Q5" s="168" t="s">
        <v>183</v>
      </c>
      <c r="R5" s="168" t="s">
        <v>184</v>
      </c>
      <c r="S5" s="155" t="s">
        <v>27</v>
      </c>
      <c r="T5" s="155" t="s">
        <v>28</v>
      </c>
      <c r="U5" s="155" t="s">
        <v>185</v>
      </c>
      <c r="V5" s="155" t="s">
        <v>187</v>
      </c>
      <c r="W5" s="155" t="s">
        <v>186</v>
      </c>
      <c r="X5" s="155" t="s">
        <v>188</v>
      </c>
      <c r="Y5" s="170" t="s">
        <v>189</v>
      </c>
      <c r="Z5" s="166" t="s">
        <v>190</v>
      </c>
      <c r="AA5" s="129"/>
      <c r="AB5" s="129"/>
      <c r="AC5" s="129"/>
      <c r="AD5" s="129"/>
      <c r="AE5" s="129"/>
      <c r="AF5" s="129"/>
      <c r="AG5" s="129"/>
      <c r="AH5" s="129"/>
      <c r="AI5" s="129"/>
      <c r="AJ5" s="129"/>
      <c r="AK5" s="129"/>
      <c r="AL5" s="129"/>
      <c r="AM5" s="129"/>
      <c r="AN5" s="129"/>
      <c r="AO5" s="129"/>
      <c r="AP5" s="129"/>
      <c r="AQ5" s="129"/>
      <c r="AR5" s="129"/>
      <c r="AS5" s="129"/>
      <c r="AT5" s="129"/>
    </row>
    <row r="6" spans="1:46" s="130" customFormat="1" ht="60.75" customHeight="1" x14ac:dyDescent="0.2">
      <c r="A6" s="158"/>
      <c r="B6" s="158"/>
      <c r="C6" s="158"/>
      <c r="D6" s="158"/>
      <c r="E6" s="116" t="s">
        <v>212</v>
      </c>
      <c r="F6" s="117" t="s">
        <v>213</v>
      </c>
      <c r="G6" s="117" t="s">
        <v>214</v>
      </c>
      <c r="H6" s="163"/>
      <c r="I6" s="165"/>
      <c r="J6" s="156"/>
      <c r="K6" s="156"/>
      <c r="L6" s="156"/>
      <c r="M6" s="156"/>
      <c r="N6" s="156"/>
      <c r="O6" s="156"/>
      <c r="P6" s="156"/>
      <c r="Q6" s="169"/>
      <c r="R6" s="169"/>
      <c r="S6" s="156"/>
      <c r="T6" s="156"/>
      <c r="U6" s="156"/>
      <c r="V6" s="156"/>
      <c r="W6" s="156"/>
      <c r="X6" s="156"/>
      <c r="Y6" s="171"/>
      <c r="Z6" s="167"/>
      <c r="AA6" s="131"/>
      <c r="AB6" s="131"/>
      <c r="AC6" s="131"/>
      <c r="AD6" s="131"/>
      <c r="AE6" s="131"/>
      <c r="AF6" s="131"/>
      <c r="AG6" s="131"/>
      <c r="AH6" s="131"/>
      <c r="AI6" s="131"/>
      <c r="AJ6" s="131"/>
      <c r="AK6" s="131"/>
      <c r="AL6" s="131"/>
      <c r="AM6" s="131"/>
      <c r="AN6" s="131"/>
      <c r="AO6" s="131"/>
      <c r="AP6" s="131"/>
      <c r="AQ6" s="131"/>
      <c r="AR6" s="131"/>
      <c r="AS6" s="131"/>
      <c r="AT6" s="131"/>
    </row>
    <row r="7" spans="1:46" s="7" customFormat="1" ht="12.75" customHeight="1" x14ac:dyDescent="0.2">
      <c r="A7" s="184" t="s">
        <v>32</v>
      </c>
      <c r="B7" s="185">
        <v>1</v>
      </c>
      <c r="C7" s="186" t="s">
        <v>33</v>
      </c>
      <c r="D7" s="186" t="s">
        <v>34</v>
      </c>
      <c r="E7" s="187"/>
      <c r="F7" s="187">
        <f>1337212800+52917202</f>
        <v>1390130002</v>
      </c>
      <c r="G7" s="187"/>
      <c r="H7" s="188">
        <v>80111600</v>
      </c>
      <c r="I7" s="189" t="s">
        <v>216</v>
      </c>
      <c r="J7" s="190">
        <v>1</v>
      </c>
      <c r="K7" s="191">
        <v>1</v>
      </c>
      <c r="L7" s="192">
        <v>12</v>
      </c>
      <c r="M7" s="185">
        <f t="shared" ref="M7:M12" si="0">IF(ISBLANK(J7),"",1)</f>
        <v>1</v>
      </c>
      <c r="N7" s="193" t="s">
        <v>210</v>
      </c>
      <c r="O7" s="194" t="s">
        <v>264</v>
      </c>
      <c r="P7" s="195">
        <f t="shared" ref="P7:P12" si="1">IF(ISBLANK(N7),"",1)</f>
        <v>1</v>
      </c>
      <c r="Q7" s="196">
        <f t="shared" ref="Q7:Q12" si="2">+E7+F7+G7</f>
        <v>1390130002</v>
      </c>
      <c r="R7" s="196">
        <f t="shared" ref="R7:R12" si="3">+F7</f>
        <v>1390130002</v>
      </c>
      <c r="S7" s="197" t="s">
        <v>217</v>
      </c>
      <c r="T7" s="193">
        <f t="shared" ref="T7:T12" si="4">IF(ISBLANK(S7),"",IF(VALUE(S7)=0,0,IF(VALUE(S7)=1,3,"")))</f>
        <v>0</v>
      </c>
      <c r="U7" s="198" t="str">
        <f t="shared" ref="U7:U12" si="5">IF(ISBLANK(N7),"","SUBDIRECCION DE GESTION CONTRACTUAL")</f>
        <v>SUBDIRECCION DE GESTION CONTRACTUAL</v>
      </c>
      <c r="V7" s="185" t="str">
        <f t="shared" ref="V7:V12" si="6">IF(ISBLANK(N7),"","CO-DC")</f>
        <v>CO-DC</v>
      </c>
      <c r="W7" s="198" t="str">
        <f t="shared" ref="W7:W12" si="7">IF(ISBLANK(N7),"","Distrito Capital de Bogotá")</f>
        <v>Distrito Capital de Bogotá</v>
      </c>
      <c r="X7" s="199" t="s">
        <v>40</v>
      </c>
      <c r="Y7" s="202">
        <v>2427400</v>
      </c>
      <c r="Z7" s="200" t="s">
        <v>41</v>
      </c>
    </row>
    <row r="8" spans="1:46" s="7" customFormat="1" ht="12.75" customHeight="1" x14ac:dyDescent="0.2">
      <c r="A8" s="184" t="s">
        <v>32</v>
      </c>
      <c r="B8" s="185">
        <v>2</v>
      </c>
      <c r="C8" s="186" t="s">
        <v>33</v>
      </c>
      <c r="D8" s="186" t="s">
        <v>34</v>
      </c>
      <c r="E8" s="187"/>
      <c r="F8" s="187">
        <f>1150688000+51068667</f>
        <v>1201756667</v>
      </c>
      <c r="G8" s="187"/>
      <c r="H8" s="188">
        <v>80111600</v>
      </c>
      <c r="I8" s="189" t="s">
        <v>216</v>
      </c>
      <c r="J8" s="190">
        <v>1</v>
      </c>
      <c r="K8" s="191">
        <v>1</v>
      </c>
      <c r="L8" s="192">
        <v>12</v>
      </c>
      <c r="M8" s="185">
        <f t="shared" si="0"/>
        <v>1</v>
      </c>
      <c r="N8" s="193" t="s">
        <v>210</v>
      </c>
      <c r="O8" s="194" t="s">
        <v>264</v>
      </c>
      <c r="P8" s="195">
        <f t="shared" si="1"/>
        <v>1</v>
      </c>
      <c r="Q8" s="196">
        <f t="shared" si="2"/>
        <v>1201756667</v>
      </c>
      <c r="R8" s="196">
        <f t="shared" si="3"/>
        <v>1201756667</v>
      </c>
      <c r="S8" s="197" t="s">
        <v>217</v>
      </c>
      <c r="T8" s="193">
        <f t="shared" si="4"/>
        <v>0</v>
      </c>
      <c r="U8" s="198" t="str">
        <f t="shared" si="5"/>
        <v>SUBDIRECCION DE GESTION CONTRACTUAL</v>
      </c>
      <c r="V8" s="185" t="str">
        <f t="shared" si="6"/>
        <v>CO-DC</v>
      </c>
      <c r="W8" s="198" t="str">
        <f t="shared" si="7"/>
        <v>Distrito Capital de Bogotá</v>
      </c>
      <c r="X8" s="199" t="s">
        <v>40</v>
      </c>
      <c r="Y8" s="185">
        <v>2427381</v>
      </c>
      <c r="Z8" s="200" t="s">
        <v>41</v>
      </c>
    </row>
    <row r="9" spans="1:46" s="7" customFormat="1" ht="12.75" customHeight="1" thickBot="1" x14ac:dyDescent="0.25">
      <c r="A9" s="184" t="s">
        <v>32</v>
      </c>
      <c r="B9" s="185">
        <v>3</v>
      </c>
      <c r="C9" s="186" t="s">
        <v>33</v>
      </c>
      <c r="D9" s="186" t="s">
        <v>34</v>
      </c>
      <c r="E9" s="187"/>
      <c r="F9" s="187">
        <v>136434513</v>
      </c>
      <c r="G9" s="187"/>
      <c r="H9" s="188" t="s">
        <v>42</v>
      </c>
      <c r="I9" s="189" t="s">
        <v>542</v>
      </c>
      <c r="J9" s="190">
        <v>3</v>
      </c>
      <c r="K9" s="191">
        <v>4</v>
      </c>
      <c r="L9" s="192">
        <v>9</v>
      </c>
      <c r="M9" s="185">
        <f t="shared" si="0"/>
        <v>1</v>
      </c>
      <c r="N9" s="193" t="s">
        <v>61</v>
      </c>
      <c r="O9" s="194" t="s">
        <v>902</v>
      </c>
      <c r="P9" s="195">
        <f t="shared" si="1"/>
        <v>1</v>
      </c>
      <c r="Q9" s="196">
        <f t="shared" si="2"/>
        <v>136434513</v>
      </c>
      <c r="R9" s="196">
        <f t="shared" si="3"/>
        <v>136434513</v>
      </c>
      <c r="S9" s="197" t="s">
        <v>217</v>
      </c>
      <c r="T9" s="193">
        <f t="shared" si="4"/>
        <v>0</v>
      </c>
      <c r="U9" s="198" t="str">
        <f t="shared" si="5"/>
        <v>SUBDIRECCION DE GESTION CONTRACTUAL</v>
      </c>
      <c r="V9" s="185" t="str">
        <f t="shared" si="6"/>
        <v>CO-DC</v>
      </c>
      <c r="W9" s="198" t="str">
        <f t="shared" si="7"/>
        <v>Distrito Capital de Bogotá</v>
      </c>
      <c r="X9" s="199" t="s">
        <v>40</v>
      </c>
      <c r="Y9" s="185">
        <v>2427382</v>
      </c>
      <c r="Z9" s="200" t="s">
        <v>41</v>
      </c>
    </row>
    <row r="10" spans="1:46" s="7" customFormat="1" ht="12.75" customHeight="1" x14ac:dyDescent="0.25">
      <c r="A10" s="219" t="s">
        <v>32</v>
      </c>
      <c r="B10" s="220">
        <v>4</v>
      </c>
      <c r="C10" s="221" t="s">
        <v>33</v>
      </c>
      <c r="D10" s="221" t="s">
        <v>34</v>
      </c>
      <c r="E10" s="222"/>
      <c r="F10" s="222">
        <v>1200000000</v>
      </c>
      <c r="G10" s="222"/>
      <c r="H10" s="223">
        <v>80101509</v>
      </c>
      <c r="I10" s="224" t="s">
        <v>962</v>
      </c>
      <c r="J10" s="225">
        <v>3</v>
      </c>
      <c r="K10" s="226">
        <v>4</v>
      </c>
      <c r="L10" s="227">
        <v>6</v>
      </c>
      <c r="M10" s="220">
        <f t="shared" si="0"/>
        <v>1</v>
      </c>
      <c r="N10" s="228" t="s">
        <v>36</v>
      </c>
      <c r="O10" s="229" t="s">
        <v>256</v>
      </c>
      <c r="P10" s="230">
        <f t="shared" si="1"/>
        <v>1</v>
      </c>
      <c r="Q10" s="231">
        <f t="shared" si="2"/>
        <v>1200000000</v>
      </c>
      <c r="R10" s="231">
        <f t="shared" si="3"/>
        <v>1200000000</v>
      </c>
      <c r="S10" s="232" t="s">
        <v>217</v>
      </c>
      <c r="T10" s="228">
        <f t="shared" si="4"/>
        <v>0</v>
      </c>
      <c r="U10" s="233" t="str">
        <f t="shared" si="5"/>
        <v>SUBDIRECCION DE GESTION CONTRACTUAL</v>
      </c>
      <c r="V10" s="220" t="str">
        <f t="shared" si="6"/>
        <v>CO-DC</v>
      </c>
      <c r="W10" s="233" t="str">
        <f t="shared" si="7"/>
        <v>Distrito Capital de Bogotá</v>
      </c>
      <c r="X10" s="234" t="s">
        <v>40</v>
      </c>
      <c r="Y10" s="220">
        <v>2427383</v>
      </c>
      <c r="Z10" s="235" t="s">
        <v>41</v>
      </c>
    </row>
    <row r="11" spans="1:46" s="7" customFormat="1" ht="12.75" customHeight="1" x14ac:dyDescent="0.2">
      <c r="A11" s="184" t="s">
        <v>32</v>
      </c>
      <c r="B11" s="185">
        <v>5</v>
      </c>
      <c r="C11" s="186" t="s">
        <v>45</v>
      </c>
      <c r="D11" s="186" t="s">
        <v>34</v>
      </c>
      <c r="E11" s="187"/>
      <c r="F11" s="187">
        <f>2584736000+189104001</f>
        <v>2773840001</v>
      </c>
      <c r="G11" s="187"/>
      <c r="H11" s="188">
        <v>80111600</v>
      </c>
      <c r="I11" s="189" t="s">
        <v>216</v>
      </c>
      <c r="J11" s="190">
        <v>1</v>
      </c>
      <c r="K11" s="191">
        <v>1</v>
      </c>
      <c r="L11" s="192">
        <v>12</v>
      </c>
      <c r="M11" s="185">
        <f t="shared" si="0"/>
        <v>1</v>
      </c>
      <c r="N11" s="193" t="s">
        <v>210</v>
      </c>
      <c r="O11" s="194" t="s">
        <v>264</v>
      </c>
      <c r="P11" s="195">
        <f t="shared" si="1"/>
        <v>1</v>
      </c>
      <c r="Q11" s="196">
        <f t="shared" si="2"/>
        <v>2773840001</v>
      </c>
      <c r="R11" s="196">
        <f t="shared" si="3"/>
        <v>2773840001</v>
      </c>
      <c r="S11" s="197" t="s">
        <v>217</v>
      </c>
      <c r="T11" s="193">
        <f t="shared" si="4"/>
        <v>0</v>
      </c>
      <c r="U11" s="198" t="str">
        <f t="shared" si="5"/>
        <v>SUBDIRECCION DE GESTION CONTRACTUAL</v>
      </c>
      <c r="V11" s="185" t="str">
        <f t="shared" si="6"/>
        <v>CO-DC</v>
      </c>
      <c r="W11" s="198" t="str">
        <f t="shared" si="7"/>
        <v>Distrito Capital de Bogotá</v>
      </c>
      <c r="X11" s="199" t="s">
        <v>40</v>
      </c>
      <c r="Y11" s="185">
        <v>2427384</v>
      </c>
      <c r="Z11" s="200" t="s">
        <v>41</v>
      </c>
    </row>
    <row r="12" spans="1:46" s="7" customFormat="1" ht="12.75" customHeight="1" x14ac:dyDescent="0.2">
      <c r="A12" s="184" t="s">
        <v>32</v>
      </c>
      <c r="B12" s="185">
        <v>6</v>
      </c>
      <c r="C12" s="186" t="s">
        <v>45</v>
      </c>
      <c r="D12" s="186" t="s">
        <v>34</v>
      </c>
      <c r="E12" s="187"/>
      <c r="F12" s="187">
        <f>2277330194-110668189</f>
        <v>2166662005</v>
      </c>
      <c r="G12" s="187"/>
      <c r="H12" s="188">
        <v>80111600</v>
      </c>
      <c r="I12" s="189" t="s">
        <v>216</v>
      </c>
      <c r="J12" s="190">
        <v>1</v>
      </c>
      <c r="K12" s="191">
        <v>1</v>
      </c>
      <c r="L12" s="192">
        <v>12</v>
      </c>
      <c r="M12" s="185">
        <f t="shared" si="0"/>
        <v>1</v>
      </c>
      <c r="N12" s="193" t="s">
        <v>210</v>
      </c>
      <c r="O12" s="194" t="s">
        <v>264</v>
      </c>
      <c r="P12" s="195">
        <f t="shared" si="1"/>
        <v>1</v>
      </c>
      <c r="Q12" s="196">
        <f t="shared" si="2"/>
        <v>2166662005</v>
      </c>
      <c r="R12" s="196">
        <f t="shared" si="3"/>
        <v>2166662005</v>
      </c>
      <c r="S12" s="197" t="s">
        <v>217</v>
      </c>
      <c r="T12" s="193">
        <f t="shared" si="4"/>
        <v>0</v>
      </c>
      <c r="U12" s="198" t="str">
        <f t="shared" si="5"/>
        <v>SUBDIRECCION DE GESTION CONTRACTUAL</v>
      </c>
      <c r="V12" s="185" t="str">
        <f t="shared" si="6"/>
        <v>CO-DC</v>
      </c>
      <c r="W12" s="198" t="str">
        <f t="shared" si="7"/>
        <v>Distrito Capital de Bogotá</v>
      </c>
      <c r="X12" s="199" t="s">
        <v>40</v>
      </c>
      <c r="Y12" s="185">
        <v>2427385</v>
      </c>
      <c r="Z12" s="200" t="s">
        <v>41</v>
      </c>
    </row>
    <row r="13" spans="1:46" s="7" customFormat="1" ht="12.75" customHeight="1" x14ac:dyDescent="0.2">
      <c r="A13" s="184" t="s">
        <v>32</v>
      </c>
      <c r="B13" s="185">
        <v>7</v>
      </c>
      <c r="C13" s="186" t="s">
        <v>45</v>
      </c>
      <c r="D13" s="186" t="s">
        <v>34</v>
      </c>
      <c r="E13" s="187"/>
      <c r="F13" s="187">
        <f>586432000+219700000-374082000</f>
        <v>432050000</v>
      </c>
      <c r="G13" s="187"/>
      <c r="H13" s="188">
        <v>80111600</v>
      </c>
      <c r="I13" s="189" t="s">
        <v>216</v>
      </c>
      <c r="J13" s="190">
        <v>1</v>
      </c>
      <c r="K13" s="191">
        <v>1</v>
      </c>
      <c r="L13" s="192">
        <v>12</v>
      </c>
      <c r="M13" s="185">
        <f t="shared" ref="M13:M44" si="8">IF(ISBLANK(J13),"",1)</f>
        <v>1</v>
      </c>
      <c r="N13" s="193" t="s">
        <v>210</v>
      </c>
      <c r="O13" s="194" t="s">
        <v>264</v>
      </c>
      <c r="P13" s="195">
        <f t="shared" ref="P13:P44" si="9">IF(ISBLANK(N13),"",1)</f>
        <v>1</v>
      </c>
      <c r="Q13" s="196">
        <f t="shared" ref="Q13:Q45" si="10">+E13+F13+G13</f>
        <v>432050000</v>
      </c>
      <c r="R13" s="196">
        <f t="shared" ref="R13:R45" si="11">+F13</f>
        <v>432050000</v>
      </c>
      <c r="S13" s="197" t="s">
        <v>217</v>
      </c>
      <c r="T13" s="193">
        <f t="shared" ref="T13:T44" si="12">IF(ISBLANK(S13),"",IF(VALUE(S13)=0,0,IF(VALUE(S13)=1,3,"")))</f>
        <v>0</v>
      </c>
      <c r="U13" s="198" t="str">
        <f t="shared" ref="U13:U44" si="13">IF(ISBLANK(N13),"","SUBDIRECCION DE GESTION CONTRACTUAL")</f>
        <v>SUBDIRECCION DE GESTION CONTRACTUAL</v>
      </c>
      <c r="V13" s="185" t="str">
        <f t="shared" ref="V13:V44" si="14">IF(ISBLANK(N13),"","CO-DC")</f>
        <v>CO-DC</v>
      </c>
      <c r="W13" s="198" t="str">
        <f t="shared" ref="W13:W44" si="15">IF(ISBLANK(N13),"","Distrito Capital de Bogotá")</f>
        <v>Distrito Capital de Bogotá</v>
      </c>
      <c r="X13" s="199" t="s">
        <v>40</v>
      </c>
      <c r="Y13" s="185">
        <v>2427386</v>
      </c>
      <c r="Z13" s="200" t="s">
        <v>41</v>
      </c>
    </row>
    <row r="14" spans="1:46" s="7" customFormat="1" ht="12.75" customHeight="1" x14ac:dyDescent="0.2">
      <c r="A14" s="184" t="s">
        <v>32</v>
      </c>
      <c r="B14" s="185">
        <v>8</v>
      </c>
      <c r="C14" s="186" t="s">
        <v>45</v>
      </c>
      <c r="D14" s="186" t="s">
        <v>34</v>
      </c>
      <c r="E14" s="187">
        <v>371842677</v>
      </c>
      <c r="F14" s="187">
        <f>1778365240+1363958-70000000-572015478</f>
        <v>1137713720</v>
      </c>
      <c r="G14" s="187"/>
      <c r="H14" s="188" t="s">
        <v>42</v>
      </c>
      <c r="I14" s="189" t="s">
        <v>542</v>
      </c>
      <c r="J14" s="190">
        <v>3</v>
      </c>
      <c r="K14" s="191">
        <v>4</v>
      </c>
      <c r="L14" s="192">
        <v>9</v>
      </c>
      <c r="M14" s="185">
        <f t="shared" si="8"/>
        <v>1</v>
      </c>
      <c r="N14" s="193" t="s">
        <v>61</v>
      </c>
      <c r="O14" s="194" t="s">
        <v>902</v>
      </c>
      <c r="P14" s="195">
        <f t="shared" si="9"/>
        <v>1</v>
      </c>
      <c r="Q14" s="196">
        <f t="shared" si="10"/>
        <v>1509556397</v>
      </c>
      <c r="R14" s="196">
        <f t="shared" si="11"/>
        <v>1137713720</v>
      </c>
      <c r="S14" s="197" t="s">
        <v>217</v>
      </c>
      <c r="T14" s="193">
        <f t="shared" si="12"/>
        <v>0</v>
      </c>
      <c r="U14" s="198" t="str">
        <f t="shared" si="13"/>
        <v>SUBDIRECCION DE GESTION CONTRACTUAL</v>
      </c>
      <c r="V14" s="185" t="str">
        <f t="shared" si="14"/>
        <v>CO-DC</v>
      </c>
      <c r="W14" s="198" t="str">
        <f t="shared" si="15"/>
        <v>Distrito Capital de Bogotá</v>
      </c>
      <c r="X14" s="199" t="s">
        <v>40</v>
      </c>
      <c r="Y14" s="185">
        <v>2427387</v>
      </c>
      <c r="Z14" s="200" t="s">
        <v>41</v>
      </c>
    </row>
    <row r="15" spans="1:46" s="7" customFormat="1" ht="12.75" customHeight="1" x14ac:dyDescent="0.25">
      <c r="A15" s="184" t="s">
        <v>32</v>
      </c>
      <c r="B15" s="185">
        <v>9</v>
      </c>
      <c r="C15" s="186" t="s">
        <v>45</v>
      </c>
      <c r="D15" s="186" t="s">
        <v>34</v>
      </c>
      <c r="E15" s="187"/>
      <c r="F15" s="187">
        <v>600000000</v>
      </c>
      <c r="G15" s="187"/>
      <c r="H15" s="188">
        <v>80101509</v>
      </c>
      <c r="I15" s="236" t="s">
        <v>962</v>
      </c>
      <c r="J15" s="202">
        <v>3</v>
      </c>
      <c r="K15" s="202">
        <v>4</v>
      </c>
      <c r="L15" s="192">
        <v>6</v>
      </c>
      <c r="M15" s="185">
        <f t="shared" si="8"/>
        <v>1</v>
      </c>
      <c r="N15" s="193" t="s">
        <v>36</v>
      </c>
      <c r="O15" s="194" t="s">
        <v>256</v>
      </c>
      <c r="P15" s="195">
        <f t="shared" si="9"/>
        <v>1</v>
      </c>
      <c r="Q15" s="196">
        <f t="shared" si="10"/>
        <v>600000000</v>
      </c>
      <c r="R15" s="196">
        <f t="shared" si="11"/>
        <v>600000000</v>
      </c>
      <c r="S15" s="197" t="s">
        <v>217</v>
      </c>
      <c r="T15" s="193">
        <f t="shared" si="12"/>
        <v>0</v>
      </c>
      <c r="U15" s="198" t="str">
        <f t="shared" si="13"/>
        <v>SUBDIRECCION DE GESTION CONTRACTUAL</v>
      </c>
      <c r="V15" s="185" t="str">
        <f t="shared" si="14"/>
        <v>CO-DC</v>
      </c>
      <c r="W15" s="198" t="str">
        <f t="shared" si="15"/>
        <v>Distrito Capital de Bogotá</v>
      </c>
      <c r="X15" s="199" t="s">
        <v>40</v>
      </c>
      <c r="Y15" s="185">
        <v>2427388</v>
      </c>
      <c r="Z15" s="200" t="s">
        <v>41</v>
      </c>
    </row>
    <row r="16" spans="1:46" s="7" customFormat="1" ht="12.75" customHeight="1" x14ac:dyDescent="0.2">
      <c r="A16" s="184" t="s">
        <v>32</v>
      </c>
      <c r="B16" s="185">
        <v>10</v>
      </c>
      <c r="C16" s="186" t="s">
        <v>45</v>
      </c>
      <c r="D16" s="186" t="s">
        <v>34</v>
      </c>
      <c r="E16" s="187"/>
      <c r="F16" s="187">
        <f>2000000000-1200000000+1200000000</f>
        <v>2000000000</v>
      </c>
      <c r="G16" s="187"/>
      <c r="H16" s="188" t="s">
        <v>710</v>
      </c>
      <c r="I16" s="189" t="s">
        <v>219</v>
      </c>
      <c r="J16" s="206">
        <v>2</v>
      </c>
      <c r="K16" s="206">
        <v>3</v>
      </c>
      <c r="L16" s="206">
        <v>9</v>
      </c>
      <c r="M16" s="185">
        <f t="shared" si="8"/>
        <v>1</v>
      </c>
      <c r="N16" s="193" t="s">
        <v>221</v>
      </c>
      <c r="O16" s="194" t="s">
        <v>903</v>
      </c>
      <c r="P16" s="195">
        <f t="shared" si="9"/>
        <v>1</v>
      </c>
      <c r="Q16" s="196">
        <f t="shared" si="10"/>
        <v>2000000000</v>
      </c>
      <c r="R16" s="196">
        <f t="shared" si="11"/>
        <v>2000000000</v>
      </c>
      <c r="S16" s="197" t="s">
        <v>217</v>
      </c>
      <c r="T16" s="193">
        <f t="shared" si="12"/>
        <v>0</v>
      </c>
      <c r="U16" s="198" t="str">
        <f t="shared" si="13"/>
        <v>SUBDIRECCION DE GESTION CONTRACTUAL</v>
      </c>
      <c r="V16" s="185" t="str">
        <f t="shared" si="14"/>
        <v>CO-DC</v>
      </c>
      <c r="W16" s="198" t="str">
        <f t="shared" si="15"/>
        <v>Distrito Capital de Bogotá</v>
      </c>
      <c r="X16" s="199" t="s">
        <v>40</v>
      </c>
      <c r="Y16" s="185">
        <v>2427389</v>
      </c>
      <c r="Z16" s="200" t="s">
        <v>41</v>
      </c>
    </row>
    <row r="17" spans="1:85" s="7" customFormat="1" ht="12.75" customHeight="1" x14ac:dyDescent="0.2">
      <c r="A17" s="184" t="s">
        <v>32</v>
      </c>
      <c r="B17" s="185">
        <v>11</v>
      </c>
      <c r="C17" s="186" t="s">
        <v>45</v>
      </c>
      <c r="D17" s="186" t="s">
        <v>34</v>
      </c>
      <c r="E17" s="187"/>
      <c r="F17" s="187">
        <v>700000000</v>
      </c>
      <c r="G17" s="187"/>
      <c r="H17" s="188" t="s">
        <v>101</v>
      </c>
      <c r="I17" s="189" t="s">
        <v>547</v>
      </c>
      <c r="J17" s="190">
        <v>2</v>
      </c>
      <c r="K17" s="191">
        <v>3</v>
      </c>
      <c r="L17" s="192">
        <v>10</v>
      </c>
      <c r="M17" s="185">
        <f t="shared" si="8"/>
        <v>1</v>
      </c>
      <c r="N17" s="193" t="s">
        <v>36</v>
      </c>
      <c r="O17" s="194" t="s">
        <v>256</v>
      </c>
      <c r="P17" s="195">
        <f t="shared" si="9"/>
        <v>1</v>
      </c>
      <c r="Q17" s="196">
        <f t="shared" si="10"/>
        <v>700000000</v>
      </c>
      <c r="R17" s="196">
        <f t="shared" si="11"/>
        <v>700000000</v>
      </c>
      <c r="S17" s="197" t="s">
        <v>217</v>
      </c>
      <c r="T17" s="193">
        <f t="shared" si="12"/>
        <v>0</v>
      </c>
      <c r="U17" s="198" t="str">
        <f t="shared" si="13"/>
        <v>SUBDIRECCION DE GESTION CONTRACTUAL</v>
      </c>
      <c r="V17" s="185" t="str">
        <f t="shared" si="14"/>
        <v>CO-DC</v>
      </c>
      <c r="W17" s="198" t="str">
        <f t="shared" si="15"/>
        <v>Distrito Capital de Bogotá</v>
      </c>
      <c r="X17" s="199" t="s">
        <v>40</v>
      </c>
      <c r="Y17" s="185">
        <v>2427390</v>
      </c>
      <c r="Z17" s="200" t="s">
        <v>41</v>
      </c>
    </row>
    <row r="18" spans="1:85" s="7" customFormat="1" ht="12.75" customHeight="1" x14ac:dyDescent="0.2">
      <c r="A18" s="184" t="s">
        <v>32</v>
      </c>
      <c r="B18" s="185">
        <v>12</v>
      </c>
      <c r="C18" s="186" t="s">
        <v>45</v>
      </c>
      <c r="D18" s="186" t="s">
        <v>34</v>
      </c>
      <c r="E18" s="187"/>
      <c r="F18" s="187">
        <f>3147788700-2647788700-500000000+200000000</f>
        <v>200000000</v>
      </c>
      <c r="G18" s="187"/>
      <c r="H18" s="237" t="s">
        <v>66</v>
      </c>
      <c r="I18" s="238" t="s">
        <v>1031</v>
      </c>
      <c r="J18" s="239">
        <v>7</v>
      </c>
      <c r="K18" s="202">
        <v>8</v>
      </c>
      <c r="L18" s="239">
        <v>3</v>
      </c>
      <c r="M18" s="185">
        <f t="shared" si="8"/>
        <v>1</v>
      </c>
      <c r="N18" s="193" t="s">
        <v>36</v>
      </c>
      <c r="O18" s="194" t="s">
        <v>256</v>
      </c>
      <c r="P18" s="195">
        <f t="shared" si="9"/>
        <v>1</v>
      </c>
      <c r="Q18" s="196">
        <f t="shared" si="10"/>
        <v>200000000</v>
      </c>
      <c r="R18" s="196">
        <f t="shared" si="11"/>
        <v>200000000</v>
      </c>
      <c r="S18" s="197" t="s">
        <v>217</v>
      </c>
      <c r="T18" s="193">
        <f t="shared" si="12"/>
        <v>0</v>
      </c>
      <c r="U18" s="198" t="str">
        <f t="shared" si="13"/>
        <v>SUBDIRECCION DE GESTION CONTRACTUAL</v>
      </c>
      <c r="V18" s="185" t="str">
        <f t="shared" si="14"/>
        <v>CO-DC</v>
      </c>
      <c r="W18" s="198" t="str">
        <f t="shared" si="15"/>
        <v>Distrito Capital de Bogotá</v>
      </c>
      <c r="X18" s="199" t="s">
        <v>40</v>
      </c>
      <c r="Y18" s="185">
        <v>2427391</v>
      </c>
      <c r="Z18" s="200" t="s">
        <v>41</v>
      </c>
    </row>
    <row r="19" spans="1:85" s="7" customFormat="1" ht="12.75" customHeight="1" x14ac:dyDescent="0.2">
      <c r="A19" s="184" t="s">
        <v>32</v>
      </c>
      <c r="B19" s="185">
        <v>13</v>
      </c>
      <c r="C19" s="240" t="s">
        <v>45</v>
      </c>
      <c r="D19" s="186" t="s">
        <v>34</v>
      </c>
      <c r="E19" s="187"/>
      <c r="F19" s="187">
        <f>2300000000+1700000000-3409527879-239472121</f>
        <v>351000000</v>
      </c>
      <c r="G19" s="187"/>
      <c r="H19" s="237" t="s">
        <v>66</v>
      </c>
      <c r="I19" s="238" t="s">
        <v>1032</v>
      </c>
      <c r="J19" s="202">
        <v>7</v>
      </c>
      <c r="K19" s="202">
        <v>8</v>
      </c>
      <c r="L19" s="202">
        <v>3</v>
      </c>
      <c r="M19" s="185">
        <f t="shared" si="8"/>
        <v>1</v>
      </c>
      <c r="N19" s="193" t="s">
        <v>36</v>
      </c>
      <c r="O19" s="194" t="s">
        <v>256</v>
      </c>
      <c r="P19" s="195">
        <f t="shared" si="9"/>
        <v>1</v>
      </c>
      <c r="Q19" s="196">
        <f t="shared" si="10"/>
        <v>351000000</v>
      </c>
      <c r="R19" s="196">
        <f t="shared" si="11"/>
        <v>351000000</v>
      </c>
      <c r="S19" s="197" t="s">
        <v>217</v>
      </c>
      <c r="T19" s="193">
        <f t="shared" si="12"/>
        <v>0</v>
      </c>
      <c r="U19" s="198" t="str">
        <f t="shared" si="13"/>
        <v>SUBDIRECCION DE GESTION CONTRACTUAL</v>
      </c>
      <c r="V19" s="185" t="str">
        <f t="shared" si="14"/>
        <v>CO-DC</v>
      </c>
      <c r="W19" s="198" t="str">
        <f t="shared" si="15"/>
        <v>Distrito Capital de Bogotá</v>
      </c>
      <c r="X19" s="199" t="s">
        <v>40</v>
      </c>
      <c r="Y19" s="185">
        <v>2427392</v>
      </c>
      <c r="Z19" s="200" t="s">
        <v>41</v>
      </c>
    </row>
    <row r="20" spans="1:85" s="7" customFormat="1" ht="12.75" customHeight="1" x14ac:dyDescent="0.2">
      <c r="A20" s="184" t="s">
        <v>32</v>
      </c>
      <c r="B20" s="185">
        <v>14</v>
      </c>
      <c r="C20" s="186" t="s">
        <v>222</v>
      </c>
      <c r="D20" s="186" t="s">
        <v>34</v>
      </c>
      <c r="E20" s="187"/>
      <c r="F20" s="187">
        <f>2200000000+1800000000-3257614639</f>
        <v>742385361</v>
      </c>
      <c r="G20" s="187"/>
      <c r="H20" s="188">
        <v>77121504</v>
      </c>
      <c r="I20" s="238" t="s">
        <v>881</v>
      </c>
      <c r="J20" s="202">
        <v>4</v>
      </c>
      <c r="K20" s="202">
        <v>5</v>
      </c>
      <c r="L20" s="202">
        <v>2</v>
      </c>
      <c r="M20" s="185">
        <f t="shared" si="8"/>
        <v>1</v>
      </c>
      <c r="N20" s="193" t="s">
        <v>36</v>
      </c>
      <c r="O20" s="194" t="s">
        <v>256</v>
      </c>
      <c r="P20" s="195">
        <f t="shared" si="9"/>
        <v>1</v>
      </c>
      <c r="Q20" s="196">
        <f t="shared" si="10"/>
        <v>742385361</v>
      </c>
      <c r="R20" s="196">
        <f t="shared" si="11"/>
        <v>742385361</v>
      </c>
      <c r="S20" s="197" t="s">
        <v>217</v>
      </c>
      <c r="T20" s="193">
        <f t="shared" si="12"/>
        <v>0</v>
      </c>
      <c r="U20" s="198" t="str">
        <f t="shared" si="13"/>
        <v>SUBDIRECCION DE GESTION CONTRACTUAL</v>
      </c>
      <c r="V20" s="185" t="str">
        <f t="shared" si="14"/>
        <v>CO-DC</v>
      </c>
      <c r="W20" s="198" t="str">
        <f t="shared" si="15"/>
        <v>Distrito Capital de Bogotá</v>
      </c>
      <c r="X20" s="199" t="s">
        <v>40</v>
      </c>
      <c r="Y20" s="185">
        <v>2427393</v>
      </c>
      <c r="Z20" s="200" t="s">
        <v>41</v>
      </c>
    </row>
    <row r="21" spans="1:85" s="132" customFormat="1" ht="13.9" customHeight="1" x14ac:dyDescent="0.2">
      <c r="A21" s="184" t="s">
        <v>32</v>
      </c>
      <c r="B21" s="185">
        <v>15</v>
      </c>
      <c r="C21" s="186" t="s">
        <v>222</v>
      </c>
      <c r="D21" s="186" t="s">
        <v>34</v>
      </c>
      <c r="E21" s="187"/>
      <c r="F21" s="187">
        <f>1700000000+2300000000-3485915000-514085000</f>
        <v>0</v>
      </c>
      <c r="G21" s="187"/>
      <c r="H21" s="188" t="s">
        <v>220</v>
      </c>
      <c r="I21" s="238" t="s">
        <v>882</v>
      </c>
      <c r="J21" s="202">
        <v>5</v>
      </c>
      <c r="K21" s="202">
        <v>6</v>
      </c>
      <c r="L21" s="202">
        <v>3</v>
      </c>
      <c r="M21" s="185">
        <f t="shared" si="8"/>
        <v>1</v>
      </c>
      <c r="N21" s="193" t="s">
        <v>36</v>
      </c>
      <c r="O21" s="194" t="s">
        <v>256</v>
      </c>
      <c r="P21" s="195">
        <f t="shared" si="9"/>
        <v>1</v>
      </c>
      <c r="Q21" s="196">
        <f t="shared" si="10"/>
        <v>0</v>
      </c>
      <c r="R21" s="196">
        <f t="shared" si="11"/>
        <v>0</v>
      </c>
      <c r="S21" s="197" t="s">
        <v>217</v>
      </c>
      <c r="T21" s="193">
        <f t="shared" si="12"/>
        <v>0</v>
      </c>
      <c r="U21" s="198" t="str">
        <f t="shared" si="13"/>
        <v>SUBDIRECCION DE GESTION CONTRACTUAL</v>
      </c>
      <c r="V21" s="185" t="str">
        <f t="shared" si="14"/>
        <v>CO-DC</v>
      </c>
      <c r="W21" s="198" t="str">
        <f t="shared" si="15"/>
        <v>Distrito Capital de Bogotá</v>
      </c>
      <c r="X21" s="199" t="s">
        <v>40</v>
      </c>
      <c r="Y21" s="185">
        <v>2427394</v>
      </c>
      <c r="Z21" s="200" t="s">
        <v>41</v>
      </c>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row>
    <row r="22" spans="1:85" s="7" customFormat="1" ht="12.75" customHeight="1" x14ac:dyDescent="0.2">
      <c r="A22" s="184" t="s">
        <v>32</v>
      </c>
      <c r="B22" s="185">
        <v>16</v>
      </c>
      <c r="C22" s="186" t="s">
        <v>45</v>
      </c>
      <c r="D22" s="186" t="s">
        <v>34</v>
      </c>
      <c r="E22" s="187"/>
      <c r="F22" s="187">
        <f>2991363958-501363958</f>
        <v>2490000000</v>
      </c>
      <c r="G22" s="187"/>
      <c r="H22" s="188" t="s">
        <v>66</v>
      </c>
      <c r="I22" s="238" t="s">
        <v>799</v>
      </c>
      <c r="J22" s="202">
        <v>3</v>
      </c>
      <c r="K22" s="202">
        <v>4</v>
      </c>
      <c r="L22" s="202">
        <v>7</v>
      </c>
      <c r="M22" s="185">
        <f t="shared" si="8"/>
        <v>1</v>
      </c>
      <c r="N22" s="193" t="s">
        <v>36</v>
      </c>
      <c r="O22" s="194" t="s">
        <v>256</v>
      </c>
      <c r="P22" s="195">
        <f t="shared" si="9"/>
        <v>1</v>
      </c>
      <c r="Q22" s="196">
        <f t="shared" si="10"/>
        <v>2490000000</v>
      </c>
      <c r="R22" s="196">
        <f t="shared" si="11"/>
        <v>2490000000</v>
      </c>
      <c r="S22" s="197" t="s">
        <v>217</v>
      </c>
      <c r="T22" s="193">
        <f t="shared" si="12"/>
        <v>0</v>
      </c>
      <c r="U22" s="198" t="str">
        <f t="shared" si="13"/>
        <v>SUBDIRECCION DE GESTION CONTRACTUAL</v>
      </c>
      <c r="V22" s="185" t="str">
        <f t="shared" si="14"/>
        <v>CO-DC</v>
      </c>
      <c r="W22" s="198" t="str">
        <f t="shared" si="15"/>
        <v>Distrito Capital de Bogotá</v>
      </c>
      <c r="X22" s="199" t="s">
        <v>40</v>
      </c>
      <c r="Y22" s="185">
        <v>2427395</v>
      </c>
      <c r="Z22" s="200" t="s">
        <v>41</v>
      </c>
    </row>
    <row r="23" spans="1:85" s="7" customFormat="1" ht="12.75" customHeight="1" x14ac:dyDescent="0.2">
      <c r="A23" s="184" t="s">
        <v>32</v>
      </c>
      <c r="B23" s="185">
        <v>17</v>
      </c>
      <c r="C23" s="186" t="s">
        <v>45</v>
      </c>
      <c r="D23" s="186" t="s">
        <v>34</v>
      </c>
      <c r="E23" s="187"/>
      <c r="F23" s="187">
        <f>7000000000+1200000000-6500000000</f>
        <v>1700000000</v>
      </c>
      <c r="G23" s="187"/>
      <c r="H23" s="188" t="s">
        <v>710</v>
      </c>
      <c r="I23" s="189" t="s">
        <v>219</v>
      </c>
      <c r="J23" s="206">
        <v>2</v>
      </c>
      <c r="K23" s="206">
        <v>3</v>
      </c>
      <c r="L23" s="206">
        <v>9</v>
      </c>
      <c r="M23" s="185">
        <f t="shared" si="8"/>
        <v>1</v>
      </c>
      <c r="N23" s="193" t="s">
        <v>221</v>
      </c>
      <c r="O23" s="194" t="s">
        <v>903</v>
      </c>
      <c r="P23" s="195">
        <f t="shared" si="9"/>
        <v>1</v>
      </c>
      <c r="Q23" s="196">
        <f t="shared" si="10"/>
        <v>1700000000</v>
      </c>
      <c r="R23" s="196">
        <f t="shared" si="11"/>
        <v>1700000000</v>
      </c>
      <c r="S23" s="197" t="s">
        <v>217</v>
      </c>
      <c r="T23" s="193">
        <f t="shared" si="12"/>
        <v>0</v>
      </c>
      <c r="U23" s="198" t="str">
        <f t="shared" si="13"/>
        <v>SUBDIRECCION DE GESTION CONTRACTUAL</v>
      </c>
      <c r="V23" s="185" t="str">
        <f t="shared" si="14"/>
        <v>CO-DC</v>
      </c>
      <c r="W23" s="198" t="str">
        <f t="shared" si="15"/>
        <v>Distrito Capital de Bogotá</v>
      </c>
      <c r="X23" s="199" t="s">
        <v>40</v>
      </c>
      <c r="Y23" s="185">
        <v>2427396</v>
      </c>
      <c r="Z23" s="200" t="s">
        <v>41</v>
      </c>
    </row>
    <row r="24" spans="1:85" s="132" customFormat="1" ht="13.9" customHeight="1" x14ac:dyDescent="0.25">
      <c r="A24" s="184" t="s">
        <v>32</v>
      </c>
      <c r="B24" s="185">
        <v>18</v>
      </c>
      <c r="C24" s="186" t="s">
        <v>222</v>
      </c>
      <c r="D24" s="186" t="s">
        <v>34</v>
      </c>
      <c r="E24" s="187"/>
      <c r="F24" s="187">
        <f>3380608000+500000000+2000000000-1230237458+715789273</f>
        <v>5366159815</v>
      </c>
      <c r="G24" s="187"/>
      <c r="H24" s="188">
        <v>80111600</v>
      </c>
      <c r="I24" s="189" t="s">
        <v>216</v>
      </c>
      <c r="J24" s="190">
        <v>1</v>
      </c>
      <c r="K24" s="191">
        <v>1</v>
      </c>
      <c r="L24" s="192">
        <v>12</v>
      </c>
      <c r="M24" s="185">
        <f t="shared" si="8"/>
        <v>1</v>
      </c>
      <c r="N24" s="193" t="s">
        <v>210</v>
      </c>
      <c r="O24" s="194" t="s">
        <v>264</v>
      </c>
      <c r="P24" s="195">
        <f t="shared" si="9"/>
        <v>1</v>
      </c>
      <c r="Q24" s="196">
        <f t="shared" si="10"/>
        <v>5366159815</v>
      </c>
      <c r="R24" s="196">
        <f t="shared" si="11"/>
        <v>5366159815</v>
      </c>
      <c r="S24" s="197" t="s">
        <v>217</v>
      </c>
      <c r="T24" s="193">
        <f t="shared" si="12"/>
        <v>0</v>
      </c>
      <c r="U24" s="198" t="str">
        <f t="shared" si="13"/>
        <v>SUBDIRECCION DE GESTION CONTRACTUAL</v>
      </c>
      <c r="V24" s="185" t="str">
        <f t="shared" si="14"/>
        <v>CO-DC</v>
      </c>
      <c r="W24" s="198" t="str">
        <f t="shared" si="15"/>
        <v>Distrito Capital de Bogotá</v>
      </c>
      <c r="X24" s="199" t="s">
        <v>40</v>
      </c>
      <c r="Y24" s="185">
        <v>2427397</v>
      </c>
      <c r="Z24" s="125" t="s">
        <v>41</v>
      </c>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row>
    <row r="25" spans="1:85" s="132" customFormat="1" ht="13.9" customHeight="1" x14ac:dyDescent="0.2">
      <c r="A25" s="184" t="s">
        <v>32</v>
      </c>
      <c r="B25" s="185">
        <v>19</v>
      </c>
      <c r="C25" s="186" t="s">
        <v>222</v>
      </c>
      <c r="D25" s="186" t="s">
        <v>34</v>
      </c>
      <c r="E25" s="187"/>
      <c r="F25" s="187">
        <f>1146049905-600000000</f>
        <v>546049905</v>
      </c>
      <c r="G25" s="187"/>
      <c r="H25" s="188" t="s">
        <v>42</v>
      </c>
      <c r="I25" s="189" t="s">
        <v>542</v>
      </c>
      <c r="J25" s="190">
        <v>3</v>
      </c>
      <c r="K25" s="191">
        <v>4</v>
      </c>
      <c r="L25" s="192">
        <v>9</v>
      </c>
      <c r="M25" s="185">
        <f t="shared" si="8"/>
        <v>1</v>
      </c>
      <c r="N25" s="193" t="s">
        <v>61</v>
      </c>
      <c r="O25" s="194" t="s">
        <v>902</v>
      </c>
      <c r="P25" s="195">
        <f t="shared" si="9"/>
        <v>1</v>
      </c>
      <c r="Q25" s="196">
        <f t="shared" si="10"/>
        <v>546049905</v>
      </c>
      <c r="R25" s="196">
        <f t="shared" si="11"/>
        <v>546049905</v>
      </c>
      <c r="S25" s="197" t="s">
        <v>217</v>
      </c>
      <c r="T25" s="193">
        <f t="shared" si="12"/>
        <v>0</v>
      </c>
      <c r="U25" s="198" t="str">
        <f t="shared" si="13"/>
        <v>SUBDIRECCION DE GESTION CONTRACTUAL</v>
      </c>
      <c r="V25" s="185" t="str">
        <f t="shared" si="14"/>
        <v>CO-DC</v>
      </c>
      <c r="W25" s="198" t="str">
        <f t="shared" si="15"/>
        <v>Distrito Capital de Bogotá</v>
      </c>
      <c r="X25" s="199" t="s">
        <v>40</v>
      </c>
      <c r="Y25" s="185">
        <v>2427398</v>
      </c>
      <c r="Z25" s="200" t="s">
        <v>41</v>
      </c>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row>
    <row r="26" spans="1:85" s="7" customFormat="1" ht="12.75" customHeight="1" x14ac:dyDescent="0.2">
      <c r="A26" s="184" t="s">
        <v>32</v>
      </c>
      <c r="B26" s="185">
        <v>20</v>
      </c>
      <c r="C26" s="186" t="s">
        <v>45</v>
      </c>
      <c r="D26" s="186" t="s">
        <v>34</v>
      </c>
      <c r="E26" s="187"/>
      <c r="F26" s="187">
        <f>1000000000-500000000+1225466250+600000000-1258596000+1033129750+900000000</f>
        <v>3000000000</v>
      </c>
      <c r="G26" s="187"/>
      <c r="H26" s="188" t="s">
        <v>223</v>
      </c>
      <c r="I26" s="238" t="s">
        <v>963</v>
      </c>
      <c r="J26" s="202">
        <v>7</v>
      </c>
      <c r="K26" s="202">
        <v>7</v>
      </c>
      <c r="L26" s="202">
        <v>4</v>
      </c>
      <c r="M26" s="185">
        <f t="shared" si="8"/>
        <v>1</v>
      </c>
      <c r="N26" s="193" t="s">
        <v>36</v>
      </c>
      <c r="O26" s="194" t="s">
        <v>256</v>
      </c>
      <c r="P26" s="195">
        <f t="shared" si="9"/>
        <v>1</v>
      </c>
      <c r="Q26" s="196">
        <f t="shared" si="10"/>
        <v>3000000000</v>
      </c>
      <c r="R26" s="196">
        <f t="shared" si="11"/>
        <v>3000000000</v>
      </c>
      <c r="S26" s="197" t="s">
        <v>217</v>
      </c>
      <c r="T26" s="193">
        <f t="shared" si="12"/>
        <v>0</v>
      </c>
      <c r="U26" s="198" t="str">
        <f t="shared" si="13"/>
        <v>SUBDIRECCION DE GESTION CONTRACTUAL</v>
      </c>
      <c r="V26" s="185" t="str">
        <f t="shared" si="14"/>
        <v>CO-DC</v>
      </c>
      <c r="W26" s="198" t="str">
        <f t="shared" si="15"/>
        <v>Distrito Capital de Bogotá</v>
      </c>
      <c r="X26" s="199" t="s">
        <v>40</v>
      </c>
      <c r="Y26" s="185">
        <v>2427399</v>
      </c>
      <c r="Z26" s="200" t="s">
        <v>41</v>
      </c>
    </row>
    <row r="27" spans="1:85" s="132" customFormat="1" ht="13.9" customHeight="1" x14ac:dyDescent="0.2">
      <c r="A27" s="184" t="s">
        <v>32</v>
      </c>
      <c r="B27" s="185">
        <v>21</v>
      </c>
      <c r="C27" s="186" t="s">
        <v>222</v>
      </c>
      <c r="D27" s="186" t="s">
        <v>34</v>
      </c>
      <c r="E27" s="187"/>
      <c r="F27" s="187">
        <f>8725466250-4725466250+1258596000</f>
        <v>5258596000</v>
      </c>
      <c r="G27" s="187"/>
      <c r="H27" s="188" t="s">
        <v>66</v>
      </c>
      <c r="I27" s="238" t="s">
        <v>800</v>
      </c>
      <c r="J27" s="202">
        <v>3</v>
      </c>
      <c r="K27" s="202">
        <v>4</v>
      </c>
      <c r="L27" s="202">
        <v>5</v>
      </c>
      <c r="M27" s="185">
        <f t="shared" si="8"/>
        <v>1</v>
      </c>
      <c r="N27" s="193" t="s">
        <v>36</v>
      </c>
      <c r="O27" s="194" t="s">
        <v>256</v>
      </c>
      <c r="P27" s="195">
        <f t="shared" si="9"/>
        <v>1</v>
      </c>
      <c r="Q27" s="196">
        <f t="shared" si="10"/>
        <v>5258596000</v>
      </c>
      <c r="R27" s="196">
        <f t="shared" si="11"/>
        <v>5258596000</v>
      </c>
      <c r="S27" s="197" t="s">
        <v>217</v>
      </c>
      <c r="T27" s="193">
        <f t="shared" si="12"/>
        <v>0</v>
      </c>
      <c r="U27" s="198" t="str">
        <f t="shared" si="13"/>
        <v>SUBDIRECCION DE GESTION CONTRACTUAL</v>
      </c>
      <c r="V27" s="185" t="str">
        <f t="shared" si="14"/>
        <v>CO-DC</v>
      </c>
      <c r="W27" s="198" t="str">
        <f t="shared" si="15"/>
        <v>Distrito Capital de Bogotá</v>
      </c>
      <c r="X27" s="199" t="s">
        <v>40</v>
      </c>
      <c r="Y27" s="185">
        <v>2427400</v>
      </c>
      <c r="Z27" s="200" t="s">
        <v>41</v>
      </c>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row>
    <row r="28" spans="1:85" s="132" customFormat="1" ht="13.9" customHeight="1" x14ac:dyDescent="0.2">
      <c r="A28" s="184" t="s">
        <v>32</v>
      </c>
      <c r="B28" s="185">
        <v>22</v>
      </c>
      <c r="C28" s="186" t="s">
        <v>224</v>
      </c>
      <c r="D28" s="186" t="s">
        <v>34</v>
      </c>
      <c r="E28" s="187"/>
      <c r="F28" s="187">
        <f>712096000+749829304-68835027</f>
        <v>1393090277</v>
      </c>
      <c r="G28" s="187"/>
      <c r="H28" s="188">
        <v>80111600</v>
      </c>
      <c r="I28" s="189" t="s">
        <v>216</v>
      </c>
      <c r="J28" s="190">
        <v>1</v>
      </c>
      <c r="K28" s="191">
        <v>1</v>
      </c>
      <c r="L28" s="192">
        <v>12</v>
      </c>
      <c r="M28" s="185">
        <f t="shared" si="8"/>
        <v>1</v>
      </c>
      <c r="N28" s="193" t="s">
        <v>210</v>
      </c>
      <c r="O28" s="194" t="s">
        <v>264</v>
      </c>
      <c r="P28" s="195">
        <f t="shared" si="9"/>
        <v>1</v>
      </c>
      <c r="Q28" s="196">
        <f t="shared" si="10"/>
        <v>1393090277</v>
      </c>
      <c r="R28" s="196">
        <f t="shared" si="11"/>
        <v>1393090277</v>
      </c>
      <c r="S28" s="197" t="s">
        <v>217</v>
      </c>
      <c r="T28" s="193">
        <f t="shared" si="12"/>
        <v>0</v>
      </c>
      <c r="U28" s="198" t="str">
        <f t="shared" si="13"/>
        <v>SUBDIRECCION DE GESTION CONTRACTUAL</v>
      </c>
      <c r="V28" s="185" t="str">
        <f t="shared" si="14"/>
        <v>CO-DC</v>
      </c>
      <c r="W28" s="198" t="str">
        <f t="shared" si="15"/>
        <v>Distrito Capital de Bogotá</v>
      </c>
      <c r="X28" s="199" t="s">
        <v>40</v>
      </c>
      <c r="Y28" s="185">
        <v>2427401</v>
      </c>
      <c r="Z28" s="200" t="s">
        <v>41</v>
      </c>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row>
    <row r="29" spans="1:85" s="132" customFormat="1" ht="13.9" customHeight="1" x14ac:dyDescent="0.2">
      <c r="A29" s="184" t="s">
        <v>32</v>
      </c>
      <c r="B29" s="185">
        <v>23</v>
      </c>
      <c r="C29" s="186" t="s">
        <v>224</v>
      </c>
      <c r="D29" s="186" t="s">
        <v>34</v>
      </c>
      <c r="E29" s="187"/>
      <c r="F29" s="187">
        <f>60031186+220000000-70000000-150000000</f>
        <v>60031186</v>
      </c>
      <c r="G29" s="187"/>
      <c r="H29" s="188" t="s">
        <v>42</v>
      </c>
      <c r="I29" s="189" t="s">
        <v>542</v>
      </c>
      <c r="J29" s="190">
        <v>3</v>
      </c>
      <c r="K29" s="191">
        <v>4</v>
      </c>
      <c r="L29" s="192">
        <v>9</v>
      </c>
      <c r="M29" s="185">
        <f t="shared" si="8"/>
        <v>1</v>
      </c>
      <c r="N29" s="193" t="s">
        <v>61</v>
      </c>
      <c r="O29" s="194" t="s">
        <v>902</v>
      </c>
      <c r="P29" s="195">
        <f t="shared" si="9"/>
        <v>1</v>
      </c>
      <c r="Q29" s="196">
        <f t="shared" si="10"/>
        <v>60031186</v>
      </c>
      <c r="R29" s="196">
        <f t="shared" si="11"/>
        <v>60031186</v>
      </c>
      <c r="S29" s="197" t="s">
        <v>217</v>
      </c>
      <c r="T29" s="193">
        <f t="shared" si="12"/>
        <v>0</v>
      </c>
      <c r="U29" s="198" t="str">
        <f t="shared" si="13"/>
        <v>SUBDIRECCION DE GESTION CONTRACTUAL</v>
      </c>
      <c r="V29" s="185" t="str">
        <f t="shared" si="14"/>
        <v>CO-DC</v>
      </c>
      <c r="W29" s="198" t="str">
        <f t="shared" si="15"/>
        <v>Distrito Capital de Bogotá</v>
      </c>
      <c r="X29" s="199" t="s">
        <v>40</v>
      </c>
      <c r="Y29" s="185">
        <v>2427402</v>
      </c>
      <c r="Z29" s="200" t="s">
        <v>41</v>
      </c>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row>
    <row r="30" spans="1:85" s="7" customFormat="1" ht="12.75" customHeight="1" x14ac:dyDescent="0.25">
      <c r="A30" s="184" t="s">
        <v>32</v>
      </c>
      <c r="B30" s="185">
        <v>24</v>
      </c>
      <c r="C30" s="186" t="s">
        <v>224</v>
      </c>
      <c r="D30" s="186" t="s">
        <v>34</v>
      </c>
      <c r="E30" s="187"/>
      <c r="F30" s="187">
        <f>180000000+70000000</f>
        <v>250000000</v>
      </c>
      <c r="G30" s="187"/>
      <c r="H30" s="188" t="s">
        <v>225</v>
      </c>
      <c r="I30" s="189" t="s">
        <v>580</v>
      </c>
      <c r="J30" s="214">
        <v>7</v>
      </c>
      <c r="K30" s="214">
        <v>9</v>
      </c>
      <c r="L30" s="214">
        <v>3</v>
      </c>
      <c r="M30" s="185">
        <f t="shared" si="8"/>
        <v>1</v>
      </c>
      <c r="N30" s="193" t="s">
        <v>61</v>
      </c>
      <c r="O30" s="194" t="s">
        <v>902</v>
      </c>
      <c r="P30" s="195">
        <f t="shared" si="9"/>
        <v>1</v>
      </c>
      <c r="Q30" s="196">
        <f t="shared" si="10"/>
        <v>250000000</v>
      </c>
      <c r="R30" s="196">
        <f t="shared" si="11"/>
        <v>250000000</v>
      </c>
      <c r="S30" s="197" t="s">
        <v>217</v>
      </c>
      <c r="T30" s="193">
        <f t="shared" si="12"/>
        <v>0</v>
      </c>
      <c r="U30" s="198" t="str">
        <f t="shared" si="13"/>
        <v>SUBDIRECCION DE GESTION CONTRACTUAL</v>
      </c>
      <c r="V30" s="185" t="str">
        <f t="shared" si="14"/>
        <v>CO-DC</v>
      </c>
      <c r="W30" s="198" t="str">
        <f t="shared" si="15"/>
        <v>Distrito Capital de Bogotá</v>
      </c>
      <c r="X30" s="199" t="s">
        <v>807</v>
      </c>
      <c r="Y30" s="185">
        <v>2427400</v>
      </c>
      <c r="Z30" s="125" t="s">
        <v>825</v>
      </c>
    </row>
    <row r="31" spans="1:85" s="7" customFormat="1" ht="12.75" customHeight="1" x14ac:dyDescent="0.25">
      <c r="A31" s="184" t="s">
        <v>32</v>
      </c>
      <c r="B31" s="185">
        <v>25</v>
      </c>
      <c r="C31" s="186" t="s">
        <v>224</v>
      </c>
      <c r="D31" s="186" t="s">
        <v>34</v>
      </c>
      <c r="E31" s="187"/>
      <c r="F31" s="187">
        <f>820000000-130000000-70000000-20000000-600000000+200000000</f>
        <v>200000000</v>
      </c>
      <c r="G31" s="187"/>
      <c r="H31" s="241" t="s">
        <v>1022</v>
      </c>
      <c r="I31" s="236" t="s">
        <v>1033</v>
      </c>
      <c r="J31" s="202">
        <v>8</v>
      </c>
      <c r="K31" s="202">
        <v>9</v>
      </c>
      <c r="L31" s="202">
        <v>2</v>
      </c>
      <c r="M31" s="185">
        <f t="shared" si="8"/>
        <v>1</v>
      </c>
      <c r="N31" s="193" t="s">
        <v>53</v>
      </c>
      <c r="O31" s="194" t="s">
        <v>54</v>
      </c>
      <c r="P31" s="195">
        <f t="shared" si="9"/>
        <v>1</v>
      </c>
      <c r="Q31" s="196">
        <f t="shared" si="10"/>
        <v>200000000</v>
      </c>
      <c r="R31" s="196">
        <f t="shared" si="11"/>
        <v>200000000</v>
      </c>
      <c r="S31" s="197" t="s">
        <v>217</v>
      </c>
      <c r="T31" s="193">
        <f t="shared" si="12"/>
        <v>0</v>
      </c>
      <c r="U31" s="198" t="str">
        <f t="shared" si="13"/>
        <v>SUBDIRECCION DE GESTION CONTRACTUAL</v>
      </c>
      <c r="V31" s="185" t="str">
        <f t="shared" si="14"/>
        <v>CO-DC</v>
      </c>
      <c r="W31" s="198" t="str">
        <f t="shared" si="15"/>
        <v>Distrito Capital de Bogotá</v>
      </c>
      <c r="X31" s="199" t="s">
        <v>40</v>
      </c>
      <c r="Y31" s="185">
        <v>2427404</v>
      </c>
      <c r="Z31" s="200" t="s">
        <v>41</v>
      </c>
    </row>
    <row r="32" spans="1:85" s="132" customFormat="1" ht="13.9" customHeight="1" x14ac:dyDescent="0.25">
      <c r="A32" s="184" t="s">
        <v>32</v>
      </c>
      <c r="B32" s="185">
        <v>26</v>
      </c>
      <c r="C32" s="186" t="s">
        <v>224</v>
      </c>
      <c r="D32" s="186" t="s">
        <v>34</v>
      </c>
      <c r="E32" s="187"/>
      <c r="F32" s="187">
        <f>1000000000-400000000+98214241</f>
        <v>698214241</v>
      </c>
      <c r="G32" s="187"/>
      <c r="H32" s="188" t="s">
        <v>802</v>
      </c>
      <c r="I32" s="236" t="s">
        <v>801</v>
      </c>
      <c r="J32" s="202">
        <v>4</v>
      </c>
      <c r="K32" s="202">
        <v>5</v>
      </c>
      <c r="L32" s="202">
        <v>6</v>
      </c>
      <c r="M32" s="185">
        <f t="shared" si="8"/>
        <v>1</v>
      </c>
      <c r="N32" s="193" t="s">
        <v>36</v>
      </c>
      <c r="O32" s="194" t="s">
        <v>256</v>
      </c>
      <c r="P32" s="195">
        <f t="shared" si="9"/>
        <v>1</v>
      </c>
      <c r="Q32" s="196">
        <f t="shared" si="10"/>
        <v>698214241</v>
      </c>
      <c r="R32" s="196">
        <f t="shared" si="11"/>
        <v>698214241</v>
      </c>
      <c r="S32" s="197" t="s">
        <v>217</v>
      </c>
      <c r="T32" s="193">
        <f t="shared" si="12"/>
        <v>0</v>
      </c>
      <c r="U32" s="198" t="str">
        <f t="shared" si="13"/>
        <v>SUBDIRECCION DE GESTION CONTRACTUAL</v>
      </c>
      <c r="V32" s="185" t="str">
        <f t="shared" si="14"/>
        <v>CO-DC</v>
      </c>
      <c r="W32" s="198" t="str">
        <f t="shared" si="15"/>
        <v>Distrito Capital de Bogotá</v>
      </c>
      <c r="X32" s="199" t="s">
        <v>40</v>
      </c>
      <c r="Y32" s="185">
        <v>2427405</v>
      </c>
      <c r="Z32" s="200"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132" customFormat="1" ht="13.9" customHeight="1" x14ac:dyDescent="0.2">
      <c r="A33" s="184" t="s">
        <v>32</v>
      </c>
      <c r="B33" s="185">
        <v>27</v>
      </c>
      <c r="C33" s="186" t="s">
        <v>46</v>
      </c>
      <c r="D33" s="186" t="s">
        <v>47</v>
      </c>
      <c r="E33" s="187"/>
      <c r="F33" s="187">
        <v>6740578</v>
      </c>
      <c r="G33" s="187"/>
      <c r="H33" s="188" t="s">
        <v>949</v>
      </c>
      <c r="I33" s="189" t="s">
        <v>950</v>
      </c>
      <c r="J33" s="190">
        <v>6</v>
      </c>
      <c r="K33" s="191" t="s">
        <v>579</v>
      </c>
      <c r="L33" s="192">
        <v>1</v>
      </c>
      <c r="M33" s="185">
        <f t="shared" si="8"/>
        <v>1</v>
      </c>
      <c r="N33" s="193" t="s">
        <v>48</v>
      </c>
      <c r="O33" s="194" t="s">
        <v>49</v>
      </c>
      <c r="P33" s="195">
        <f t="shared" si="9"/>
        <v>1</v>
      </c>
      <c r="Q33" s="196">
        <f t="shared" si="10"/>
        <v>6740578</v>
      </c>
      <c r="R33" s="196">
        <f t="shared" si="11"/>
        <v>6740578</v>
      </c>
      <c r="S33" s="197" t="s">
        <v>217</v>
      </c>
      <c r="T33" s="193">
        <f t="shared" si="12"/>
        <v>0</v>
      </c>
      <c r="U33" s="198" t="str">
        <f t="shared" si="13"/>
        <v>SUBDIRECCION DE GESTION CONTRACTUAL</v>
      </c>
      <c r="V33" s="185" t="str">
        <f t="shared" si="14"/>
        <v>CO-DC</v>
      </c>
      <c r="W33" s="198" t="str">
        <f t="shared" si="15"/>
        <v>Distrito Capital de Bogotá</v>
      </c>
      <c r="X33" s="199" t="s">
        <v>40</v>
      </c>
      <c r="Y33" s="185">
        <v>2427406</v>
      </c>
      <c r="Z33" s="200" t="s">
        <v>41</v>
      </c>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row>
    <row r="34" spans="1:85" s="7" customFormat="1" ht="12.75" customHeight="1" x14ac:dyDescent="0.2">
      <c r="A34" s="184" t="s">
        <v>32</v>
      </c>
      <c r="B34" s="185">
        <v>28</v>
      </c>
      <c r="C34" s="186" t="s">
        <v>46</v>
      </c>
      <c r="D34" s="186" t="s">
        <v>50</v>
      </c>
      <c r="E34" s="187"/>
      <c r="F34" s="187">
        <v>15000000</v>
      </c>
      <c r="G34" s="187"/>
      <c r="H34" s="188" t="s">
        <v>51</v>
      </c>
      <c r="I34" s="189" t="s">
        <v>226</v>
      </c>
      <c r="J34" s="190">
        <v>4</v>
      </c>
      <c r="K34" s="191" t="s">
        <v>579</v>
      </c>
      <c r="L34" s="192">
        <v>1</v>
      </c>
      <c r="M34" s="185">
        <f t="shared" si="8"/>
        <v>1</v>
      </c>
      <c r="N34" s="193" t="s">
        <v>43</v>
      </c>
      <c r="O34" s="194" t="s">
        <v>44</v>
      </c>
      <c r="P34" s="195">
        <f t="shared" si="9"/>
        <v>1</v>
      </c>
      <c r="Q34" s="196">
        <f t="shared" si="10"/>
        <v>15000000</v>
      </c>
      <c r="R34" s="196">
        <f t="shared" si="11"/>
        <v>15000000</v>
      </c>
      <c r="S34" s="197" t="s">
        <v>217</v>
      </c>
      <c r="T34" s="193">
        <f t="shared" si="12"/>
        <v>0</v>
      </c>
      <c r="U34" s="198" t="str">
        <f t="shared" si="13"/>
        <v>SUBDIRECCION DE GESTION CONTRACTUAL</v>
      </c>
      <c r="V34" s="185" t="str">
        <f t="shared" si="14"/>
        <v>CO-DC</v>
      </c>
      <c r="W34" s="198" t="str">
        <f t="shared" si="15"/>
        <v>Distrito Capital de Bogotá</v>
      </c>
      <c r="X34" s="199" t="s">
        <v>40</v>
      </c>
      <c r="Y34" s="185">
        <v>2427407</v>
      </c>
      <c r="Z34" s="200" t="s">
        <v>41</v>
      </c>
    </row>
    <row r="35" spans="1:85" s="132" customFormat="1" ht="13.9" customHeight="1" x14ac:dyDescent="0.2">
      <c r="A35" s="184" t="s">
        <v>32</v>
      </c>
      <c r="B35" s="185">
        <v>29</v>
      </c>
      <c r="C35" s="186" t="s">
        <v>46</v>
      </c>
      <c r="D35" s="186" t="s">
        <v>52</v>
      </c>
      <c r="E35" s="187"/>
      <c r="F35" s="187">
        <v>8000000</v>
      </c>
      <c r="G35" s="187"/>
      <c r="H35" s="188" t="s">
        <v>126</v>
      </c>
      <c r="I35" s="189" t="s">
        <v>227</v>
      </c>
      <c r="J35" s="202">
        <v>10</v>
      </c>
      <c r="K35" s="202">
        <v>10</v>
      </c>
      <c r="L35" s="202">
        <v>12</v>
      </c>
      <c r="M35" s="185">
        <f t="shared" si="8"/>
        <v>1</v>
      </c>
      <c r="N35" s="193" t="s">
        <v>53</v>
      </c>
      <c r="O35" s="194" t="s">
        <v>54</v>
      </c>
      <c r="P35" s="195">
        <f t="shared" si="9"/>
        <v>1</v>
      </c>
      <c r="Q35" s="196">
        <f t="shared" si="10"/>
        <v>8000000</v>
      </c>
      <c r="R35" s="196">
        <f t="shared" si="11"/>
        <v>8000000</v>
      </c>
      <c r="S35" s="197" t="s">
        <v>217</v>
      </c>
      <c r="T35" s="193">
        <f t="shared" si="12"/>
        <v>0</v>
      </c>
      <c r="U35" s="198" t="str">
        <f t="shared" si="13"/>
        <v>SUBDIRECCION DE GESTION CONTRACTUAL</v>
      </c>
      <c r="V35" s="185" t="str">
        <f t="shared" si="14"/>
        <v>CO-DC</v>
      </c>
      <c r="W35" s="198" t="str">
        <f t="shared" si="15"/>
        <v>Distrito Capital de Bogotá</v>
      </c>
      <c r="X35" s="199" t="s">
        <v>40</v>
      </c>
      <c r="Y35" s="185">
        <v>2427408</v>
      </c>
      <c r="Z35" s="200"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32" customFormat="1" ht="13.9" customHeight="1" x14ac:dyDescent="0.2">
      <c r="A36" s="184" t="s">
        <v>32</v>
      </c>
      <c r="B36" s="185">
        <v>30</v>
      </c>
      <c r="C36" s="186" t="s">
        <v>46</v>
      </c>
      <c r="D36" s="186" t="s">
        <v>55</v>
      </c>
      <c r="E36" s="187"/>
      <c r="F36" s="187">
        <f>595941595-395941595+250000000</f>
        <v>450000000</v>
      </c>
      <c r="G36" s="187"/>
      <c r="H36" s="188" t="s">
        <v>710</v>
      </c>
      <c r="I36" s="189" t="s">
        <v>219</v>
      </c>
      <c r="J36" s="206">
        <v>2</v>
      </c>
      <c r="K36" s="206">
        <v>3</v>
      </c>
      <c r="L36" s="206">
        <v>9</v>
      </c>
      <c r="M36" s="185">
        <f t="shared" si="8"/>
        <v>1</v>
      </c>
      <c r="N36" s="193" t="s">
        <v>221</v>
      </c>
      <c r="O36" s="194" t="s">
        <v>903</v>
      </c>
      <c r="P36" s="195">
        <f t="shared" si="9"/>
        <v>1</v>
      </c>
      <c r="Q36" s="196">
        <f t="shared" si="10"/>
        <v>450000000</v>
      </c>
      <c r="R36" s="196">
        <f t="shared" si="11"/>
        <v>450000000</v>
      </c>
      <c r="S36" s="197" t="s">
        <v>217</v>
      </c>
      <c r="T36" s="193">
        <f t="shared" si="12"/>
        <v>0</v>
      </c>
      <c r="U36" s="198" t="str">
        <f t="shared" si="13"/>
        <v>SUBDIRECCION DE GESTION CONTRACTUAL</v>
      </c>
      <c r="V36" s="185" t="str">
        <f t="shared" si="14"/>
        <v>CO-DC</v>
      </c>
      <c r="W36" s="198" t="str">
        <f t="shared" si="15"/>
        <v>Distrito Capital de Bogotá</v>
      </c>
      <c r="X36" s="199" t="s">
        <v>40</v>
      </c>
      <c r="Y36" s="185">
        <v>2427409</v>
      </c>
      <c r="Z36" s="200"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32" customFormat="1" ht="13.9" customHeight="1" x14ac:dyDescent="0.2">
      <c r="A37" s="184" t="s">
        <v>32</v>
      </c>
      <c r="B37" s="185">
        <v>31</v>
      </c>
      <c r="C37" s="186" t="s">
        <v>46</v>
      </c>
      <c r="D37" s="186" t="s">
        <v>56</v>
      </c>
      <c r="E37" s="187"/>
      <c r="F37" s="187">
        <f>91869000+58131000+50000000</f>
        <v>200000000</v>
      </c>
      <c r="G37" s="187"/>
      <c r="H37" s="209" t="s">
        <v>228</v>
      </c>
      <c r="I37" s="189" t="s">
        <v>557</v>
      </c>
      <c r="J37" s="202">
        <v>4</v>
      </c>
      <c r="K37" s="202">
        <v>5</v>
      </c>
      <c r="L37" s="202">
        <v>12</v>
      </c>
      <c r="M37" s="185">
        <f t="shared" si="8"/>
        <v>1</v>
      </c>
      <c r="N37" s="193" t="s">
        <v>296</v>
      </c>
      <c r="O37" s="194" t="s">
        <v>904</v>
      </c>
      <c r="P37" s="195">
        <f t="shared" si="9"/>
        <v>1</v>
      </c>
      <c r="Q37" s="196">
        <f t="shared" si="10"/>
        <v>200000000</v>
      </c>
      <c r="R37" s="196">
        <f t="shared" si="11"/>
        <v>200000000</v>
      </c>
      <c r="S37" s="197" t="s">
        <v>217</v>
      </c>
      <c r="T37" s="193">
        <f t="shared" si="12"/>
        <v>0</v>
      </c>
      <c r="U37" s="198" t="str">
        <f t="shared" si="13"/>
        <v>SUBDIRECCION DE GESTION CONTRACTUAL</v>
      </c>
      <c r="V37" s="185" t="str">
        <f t="shared" si="14"/>
        <v>CO-DC</v>
      </c>
      <c r="W37" s="198" t="str">
        <f t="shared" si="15"/>
        <v>Distrito Capital de Bogotá</v>
      </c>
      <c r="X37" s="199" t="s">
        <v>40</v>
      </c>
      <c r="Y37" s="185">
        <v>2427410</v>
      </c>
      <c r="Z37" s="200"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32" customFormat="1" ht="13.9" customHeight="1" x14ac:dyDescent="0.2">
      <c r="A38" s="184" t="s">
        <v>32</v>
      </c>
      <c r="B38" s="185">
        <v>32</v>
      </c>
      <c r="C38" s="186" t="s">
        <v>46</v>
      </c>
      <c r="D38" s="186" t="s">
        <v>57</v>
      </c>
      <c r="E38" s="187">
        <f>186825271*3</f>
        <v>560475813</v>
      </c>
      <c r="F38" s="187">
        <f>1850447490-38641824+1</f>
        <v>1811805667</v>
      </c>
      <c r="G38" s="187"/>
      <c r="H38" s="188">
        <v>80131500</v>
      </c>
      <c r="I38" s="189" t="s">
        <v>229</v>
      </c>
      <c r="J38" s="190">
        <v>3</v>
      </c>
      <c r="K38" s="191">
        <v>3</v>
      </c>
      <c r="L38" s="192">
        <v>12</v>
      </c>
      <c r="M38" s="185">
        <f t="shared" si="8"/>
        <v>1</v>
      </c>
      <c r="N38" s="193" t="s">
        <v>36</v>
      </c>
      <c r="O38" s="194" t="s">
        <v>256</v>
      </c>
      <c r="P38" s="195">
        <f t="shared" si="9"/>
        <v>1</v>
      </c>
      <c r="Q38" s="196">
        <f t="shared" si="10"/>
        <v>2372281480</v>
      </c>
      <c r="R38" s="196">
        <f t="shared" si="11"/>
        <v>1811805667</v>
      </c>
      <c r="S38" s="197" t="s">
        <v>217</v>
      </c>
      <c r="T38" s="193">
        <f t="shared" si="12"/>
        <v>0</v>
      </c>
      <c r="U38" s="198" t="str">
        <f t="shared" si="13"/>
        <v>SUBDIRECCION DE GESTION CONTRACTUAL</v>
      </c>
      <c r="V38" s="185" t="str">
        <f t="shared" si="14"/>
        <v>CO-DC</v>
      </c>
      <c r="W38" s="198" t="str">
        <f t="shared" si="15"/>
        <v>Distrito Capital de Bogotá</v>
      </c>
      <c r="X38" s="199" t="s">
        <v>40</v>
      </c>
      <c r="Y38" s="185">
        <v>2427411</v>
      </c>
      <c r="Z38" s="200"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32" customFormat="1" ht="13.9" customHeight="1" x14ac:dyDescent="0.2">
      <c r="A39" s="184" t="s">
        <v>32</v>
      </c>
      <c r="B39" s="185">
        <v>33</v>
      </c>
      <c r="C39" s="186" t="s">
        <v>46</v>
      </c>
      <c r="D39" s="186" t="s">
        <v>58</v>
      </c>
      <c r="E39" s="187"/>
      <c r="F39" s="187">
        <v>675136000</v>
      </c>
      <c r="G39" s="187"/>
      <c r="H39" s="188">
        <v>80111600</v>
      </c>
      <c r="I39" s="189" t="s">
        <v>216</v>
      </c>
      <c r="J39" s="190">
        <v>1</v>
      </c>
      <c r="K39" s="191">
        <v>1</v>
      </c>
      <c r="L39" s="192">
        <v>12</v>
      </c>
      <c r="M39" s="185">
        <f t="shared" si="8"/>
        <v>1</v>
      </c>
      <c r="N39" s="193" t="s">
        <v>210</v>
      </c>
      <c r="O39" s="194" t="s">
        <v>264</v>
      </c>
      <c r="P39" s="195">
        <f t="shared" si="9"/>
        <v>1</v>
      </c>
      <c r="Q39" s="196">
        <f t="shared" si="10"/>
        <v>675136000</v>
      </c>
      <c r="R39" s="196">
        <f t="shared" si="11"/>
        <v>675136000</v>
      </c>
      <c r="S39" s="197" t="s">
        <v>217</v>
      </c>
      <c r="T39" s="193">
        <f t="shared" si="12"/>
        <v>0</v>
      </c>
      <c r="U39" s="198" t="str">
        <f t="shared" si="13"/>
        <v>SUBDIRECCION DE GESTION CONTRACTUAL</v>
      </c>
      <c r="V39" s="185" t="str">
        <f t="shared" si="14"/>
        <v>CO-DC</v>
      </c>
      <c r="W39" s="198" t="str">
        <f t="shared" si="15"/>
        <v>Distrito Capital de Bogotá</v>
      </c>
      <c r="X39" s="199" t="s">
        <v>40</v>
      </c>
      <c r="Y39" s="185">
        <v>2427412</v>
      </c>
      <c r="Z39" s="200"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132" customFormat="1" ht="13.9" customHeight="1" x14ac:dyDescent="0.25">
      <c r="A40" s="184" t="s">
        <v>32</v>
      </c>
      <c r="B40" s="185">
        <v>34</v>
      </c>
      <c r="C40" s="186" t="s">
        <v>46</v>
      </c>
      <c r="D40" s="186" t="s">
        <v>59</v>
      </c>
      <c r="E40" s="187"/>
      <c r="F40" s="187">
        <f>162041458-45041458</f>
        <v>117000000</v>
      </c>
      <c r="G40" s="187"/>
      <c r="H40" s="188" t="s">
        <v>117</v>
      </c>
      <c r="I40" s="189" t="s">
        <v>769</v>
      </c>
      <c r="J40" s="206">
        <v>6</v>
      </c>
      <c r="K40" s="206">
        <v>6</v>
      </c>
      <c r="L40" s="206">
        <v>6</v>
      </c>
      <c r="M40" s="185">
        <f t="shared" si="8"/>
        <v>1</v>
      </c>
      <c r="N40" s="193" t="s">
        <v>210</v>
      </c>
      <c r="O40" s="194" t="s">
        <v>264</v>
      </c>
      <c r="P40" s="195">
        <f t="shared" si="9"/>
        <v>1</v>
      </c>
      <c r="Q40" s="196">
        <f t="shared" si="10"/>
        <v>117000000</v>
      </c>
      <c r="R40" s="196">
        <f t="shared" si="11"/>
        <v>117000000</v>
      </c>
      <c r="S40" s="197" t="s">
        <v>217</v>
      </c>
      <c r="T40" s="193">
        <f t="shared" si="12"/>
        <v>0</v>
      </c>
      <c r="U40" s="198" t="str">
        <f t="shared" si="13"/>
        <v>SUBDIRECCION DE GESTION CONTRACTUAL</v>
      </c>
      <c r="V40" s="185" t="str">
        <f t="shared" si="14"/>
        <v>CO-DC</v>
      </c>
      <c r="W40" s="198" t="str">
        <f t="shared" si="15"/>
        <v>Distrito Capital de Bogotá</v>
      </c>
      <c r="X40" s="199" t="s">
        <v>299</v>
      </c>
      <c r="Y40" s="185">
        <v>2427413</v>
      </c>
      <c r="Z40" s="125" t="s">
        <v>92</v>
      </c>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row>
    <row r="41" spans="1:85" s="7" customFormat="1" ht="12.75" customHeight="1" x14ac:dyDescent="0.2">
      <c r="A41" s="184" t="s">
        <v>32</v>
      </c>
      <c r="B41" s="185">
        <v>35</v>
      </c>
      <c r="C41" s="186" t="s">
        <v>46</v>
      </c>
      <c r="D41" s="186" t="s">
        <v>60</v>
      </c>
      <c r="E41" s="187">
        <v>185717121</v>
      </c>
      <c r="F41" s="187">
        <f>249309304+14386180-199000000</f>
        <v>64695484</v>
      </c>
      <c r="G41" s="187"/>
      <c r="H41" s="188">
        <v>92121500</v>
      </c>
      <c r="I41" s="189" t="s">
        <v>558</v>
      </c>
      <c r="J41" s="202">
        <v>1</v>
      </c>
      <c r="K41" s="202">
        <v>1</v>
      </c>
      <c r="L41" s="202">
        <v>11</v>
      </c>
      <c r="M41" s="185">
        <f t="shared" si="8"/>
        <v>1</v>
      </c>
      <c r="N41" s="193" t="s">
        <v>43</v>
      </c>
      <c r="O41" s="194" t="s">
        <v>44</v>
      </c>
      <c r="P41" s="195">
        <f t="shared" si="9"/>
        <v>1</v>
      </c>
      <c r="Q41" s="196">
        <f t="shared" si="10"/>
        <v>250412605</v>
      </c>
      <c r="R41" s="196">
        <f t="shared" si="11"/>
        <v>64695484</v>
      </c>
      <c r="S41" s="197" t="s">
        <v>217</v>
      </c>
      <c r="T41" s="193">
        <f t="shared" si="12"/>
        <v>0</v>
      </c>
      <c r="U41" s="198" t="str">
        <f t="shared" si="13"/>
        <v>SUBDIRECCION DE GESTION CONTRACTUAL</v>
      </c>
      <c r="V41" s="185" t="str">
        <f t="shared" si="14"/>
        <v>CO-DC</v>
      </c>
      <c r="W41" s="198" t="str">
        <f t="shared" si="15"/>
        <v>Distrito Capital de Bogotá</v>
      </c>
      <c r="X41" s="199" t="s">
        <v>40</v>
      </c>
      <c r="Y41" s="185">
        <v>2427414</v>
      </c>
      <c r="Z41" s="200" t="s">
        <v>41</v>
      </c>
    </row>
    <row r="42" spans="1:85" s="7" customFormat="1" ht="12.75" customHeight="1" x14ac:dyDescent="0.2">
      <c r="A42" s="184" t="s">
        <v>32</v>
      </c>
      <c r="B42" s="185">
        <v>36</v>
      </c>
      <c r="C42" s="186" t="s">
        <v>46</v>
      </c>
      <c r="D42" s="186" t="s">
        <v>60</v>
      </c>
      <c r="E42" s="210">
        <v>96346322.310000002</v>
      </c>
      <c r="F42" s="215">
        <f>79387070+8599621.69-18300000</f>
        <v>69686691.689999998</v>
      </c>
      <c r="G42" s="187"/>
      <c r="H42" s="188" t="s">
        <v>231</v>
      </c>
      <c r="I42" s="189" t="s">
        <v>559</v>
      </c>
      <c r="J42" s="202">
        <v>1</v>
      </c>
      <c r="K42" s="202">
        <v>1</v>
      </c>
      <c r="L42" s="202">
        <v>7</v>
      </c>
      <c r="M42" s="185">
        <f t="shared" si="8"/>
        <v>1</v>
      </c>
      <c r="N42" s="193" t="s">
        <v>53</v>
      </c>
      <c r="O42" s="194" t="s">
        <v>54</v>
      </c>
      <c r="P42" s="195">
        <f t="shared" si="9"/>
        <v>1</v>
      </c>
      <c r="Q42" s="196">
        <f t="shared" si="10"/>
        <v>166033014</v>
      </c>
      <c r="R42" s="196">
        <f t="shared" si="11"/>
        <v>69686691.689999998</v>
      </c>
      <c r="S42" s="197" t="s">
        <v>217</v>
      </c>
      <c r="T42" s="193">
        <f t="shared" si="12"/>
        <v>0</v>
      </c>
      <c r="U42" s="198" t="str">
        <f t="shared" si="13"/>
        <v>SUBDIRECCION DE GESTION CONTRACTUAL</v>
      </c>
      <c r="V42" s="185" t="str">
        <f t="shared" si="14"/>
        <v>CO-DC</v>
      </c>
      <c r="W42" s="198" t="str">
        <f t="shared" si="15"/>
        <v>Distrito Capital de Bogotá</v>
      </c>
      <c r="X42" s="209" t="s">
        <v>436</v>
      </c>
      <c r="Y42" s="202">
        <v>2427400</v>
      </c>
      <c r="Z42" s="212" t="s">
        <v>125</v>
      </c>
    </row>
    <row r="43" spans="1:85" s="7" customFormat="1" ht="12.75" customHeight="1" x14ac:dyDescent="0.2">
      <c r="A43" s="184" t="s">
        <v>32</v>
      </c>
      <c r="B43" s="185">
        <v>37</v>
      </c>
      <c r="C43" s="186" t="s">
        <v>46</v>
      </c>
      <c r="D43" s="186" t="s">
        <v>60</v>
      </c>
      <c r="E43" s="187"/>
      <c r="F43" s="187">
        <f>34000000+71000000</f>
        <v>105000000</v>
      </c>
      <c r="G43" s="187"/>
      <c r="H43" s="188" t="s">
        <v>62</v>
      </c>
      <c r="I43" s="189" t="s">
        <v>561</v>
      </c>
      <c r="J43" s="206">
        <v>1</v>
      </c>
      <c r="K43" s="206">
        <v>1</v>
      </c>
      <c r="L43" s="206">
        <v>10</v>
      </c>
      <c r="M43" s="185">
        <f t="shared" si="8"/>
        <v>1</v>
      </c>
      <c r="N43" s="193" t="s">
        <v>36</v>
      </c>
      <c r="O43" s="194" t="s">
        <v>256</v>
      </c>
      <c r="P43" s="195">
        <f t="shared" si="9"/>
        <v>1</v>
      </c>
      <c r="Q43" s="196">
        <f t="shared" si="10"/>
        <v>105000000</v>
      </c>
      <c r="R43" s="196">
        <f t="shared" si="11"/>
        <v>105000000</v>
      </c>
      <c r="S43" s="197" t="s">
        <v>217</v>
      </c>
      <c r="T43" s="193">
        <f t="shared" si="12"/>
        <v>0</v>
      </c>
      <c r="U43" s="198" t="str">
        <f t="shared" si="13"/>
        <v>SUBDIRECCION DE GESTION CONTRACTUAL</v>
      </c>
      <c r="V43" s="185" t="str">
        <f t="shared" si="14"/>
        <v>CO-DC</v>
      </c>
      <c r="W43" s="198" t="str">
        <f t="shared" si="15"/>
        <v>Distrito Capital de Bogotá</v>
      </c>
      <c r="X43" s="199" t="s">
        <v>299</v>
      </c>
      <c r="Y43" s="185">
        <v>2427400</v>
      </c>
      <c r="Z43" s="200" t="s">
        <v>92</v>
      </c>
    </row>
    <row r="44" spans="1:85" s="7" customFormat="1" ht="12.75" customHeight="1" x14ac:dyDescent="0.2">
      <c r="A44" s="184" t="s">
        <v>32</v>
      </c>
      <c r="B44" s="185">
        <v>38</v>
      </c>
      <c r="C44" s="186" t="s">
        <v>46</v>
      </c>
      <c r="D44" s="186" t="s">
        <v>63</v>
      </c>
      <c r="E44" s="187"/>
      <c r="F44" s="187">
        <f>12000000-1358176-1</f>
        <v>10641823</v>
      </c>
      <c r="G44" s="187"/>
      <c r="H44" s="209" t="s">
        <v>232</v>
      </c>
      <c r="I44" s="189" t="s">
        <v>560</v>
      </c>
      <c r="J44" s="202">
        <v>11</v>
      </c>
      <c r="K44" s="202">
        <v>11</v>
      </c>
      <c r="L44" s="202">
        <v>12</v>
      </c>
      <c r="M44" s="185">
        <f t="shared" si="8"/>
        <v>1</v>
      </c>
      <c r="N44" s="193" t="s">
        <v>53</v>
      </c>
      <c r="O44" s="194" t="s">
        <v>54</v>
      </c>
      <c r="P44" s="195">
        <f t="shared" si="9"/>
        <v>1</v>
      </c>
      <c r="Q44" s="196">
        <f t="shared" si="10"/>
        <v>10641823</v>
      </c>
      <c r="R44" s="196">
        <f t="shared" si="11"/>
        <v>10641823</v>
      </c>
      <c r="S44" s="197" t="s">
        <v>217</v>
      </c>
      <c r="T44" s="193">
        <f t="shared" si="12"/>
        <v>0</v>
      </c>
      <c r="U44" s="198" t="str">
        <f t="shared" si="13"/>
        <v>SUBDIRECCION DE GESTION CONTRACTUAL</v>
      </c>
      <c r="V44" s="185" t="str">
        <f t="shared" si="14"/>
        <v>CO-DC</v>
      </c>
      <c r="W44" s="198" t="str">
        <f t="shared" si="15"/>
        <v>Distrito Capital de Bogotá</v>
      </c>
      <c r="X44" s="209" t="s">
        <v>444</v>
      </c>
      <c r="Y44" s="202">
        <v>2427400</v>
      </c>
      <c r="Z44" s="212" t="s">
        <v>445</v>
      </c>
    </row>
    <row r="45" spans="1:85" s="7" customFormat="1" ht="14.25" x14ac:dyDescent="0.2">
      <c r="A45" s="184" t="s">
        <v>32</v>
      </c>
      <c r="B45" s="185">
        <v>39</v>
      </c>
      <c r="C45" s="186" t="s">
        <v>46</v>
      </c>
      <c r="D45" s="186" t="s">
        <v>64</v>
      </c>
      <c r="E45" s="187"/>
      <c r="F45" s="187">
        <v>6384500</v>
      </c>
      <c r="G45" s="187"/>
      <c r="H45" s="188">
        <v>85122201</v>
      </c>
      <c r="I45" s="189" t="s">
        <v>233</v>
      </c>
      <c r="J45" s="202">
        <v>2</v>
      </c>
      <c r="K45" s="202">
        <v>2</v>
      </c>
      <c r="L45" s="202">
        <v>10</v>
      </c>
      <c r="M45" s="185">
        <f t="shared" ref="M45:M76" si="16">IF(ISBLANK(J45),"",1)</f>
        <v>1</v>
      </c>
      <c r="N45" s="193" t="s">
        <v>48</v>
      </c>
      <c r="O45" s="194" t="s">
        <v>49</v>
      </c>
      <c r="P45" s="195">
        <f t="shared" ref="P45:P76" si="17">IF(ISBLANK(N45),"",1)</f>
        <v>1</v>
      </c>
      <c r="Q45" s="196">
        <f t="shared" si="10"/>
        <v>6384500</v>
      </c>
      <c r="R45" s="196">
        <f t="shared" si="11"/>
        <v>6384500</v>
      </c>
      <c r="S45" s="197" t="s">
        <v>217</v>
      </c>
      <c r="T45" s="193">
        <f t="shared" ref="T45:T76" si="18">IF(ISBLANK(S45),"",IF(VALUE(S45)=0,0,IF(VALUE(S45)=1,3,"")))</f>
        <v>0</v>
      </c>
      <c r="U45" s="198" t="str">
        <f t="shared" ref="U45:U76" si="19">IF(ISBLANK(N45),"","SUBDIRECCION DE GESTION CONTRACTUAL")</f>
        <v>SUBDIRECCION DE GESTION CONTRACTUAL</v>
      </c>
      <c r="V45" s="185" t="str">
        <f t="shared" ref="V45:V76" si="20">IF(ISBLANK(N45),"","CO-DC")</f>
        <v>CO-DC</v>
      </c>
      <c r="W45" s="198" t="str">
        <f t="shared" ref="W45:W76" si="21">IF(ISBLANK(N45),"","Distrito Capital de Bogotá")</f>
        <v>Distrito Capital de Bogotá</v>
      </c>
      <c r="X45" s="199" t="s">
        <v>40</v>
      </c>
      <c r="Y45" s="185">
        <v>2427418</v>
      </c>
      <c r="Z45" s="200" t="s">
        <v>41</v>
      </c>
    </row>
    <row r="46" spans="1:85" s="7" customFormat="1" ht="12.75" customHeight="1" x14ac:dyDescent="0.25">
      <c r="A46" s="184" t="s">
        <v>32</v>
      </c>
      <c r="B46" s="185">
        <v>40</v>
      </c>
      <c r="C46" s="203" t="s">
        <v>222</v>
      </c>
      <c r="D46" s="186" t="s">
        <v>770</v>
      </c>
      <c r="E46" s="187"/>
      <c r="F46" s="187">
        <f>200000000+950000000</f>
        <v>1150000000</v>
      </c>
      <c r="G46" s="187"/>
      <c r="H46" s="202" t="s">
        <v>771</v>
      </c>
      <c r="I46" s="236" t="s">
        <v>219</v>
      </c>
      <c r="J46" s="202">
        <v>2</v>
      </c>
      <c r="K46" s="202">
        <v>3</v>
      </c>
      <c r="L46" s="202">
        <v>9</v>
      </c>
      <c r="M46" s="185">
        <f t="shared" si="16"/>
        <v>1</v>
      </c>
      <c r="N46" s="193" t="s">
        <v>221</v>
      </c>
      <c r="O46" s="194" t="s">
        <v>903</v>
      </c>
      <c r="P46" s="195">
        <f t="shared" si="17"/>
        <v>1</v>
      </c>
      <c r="Q46" s="196">
        <f t="shared" ref="Q46:Q52" si="22">IF(VALUE(E46+F46+G46)=0,"",E46+F46+G46)</f>
        <v>1150000000</v>
      </c>
      <c r="R46" s="196">
        <f t="shared" ref="R46:R52" si="23">IF(VALUE(F46)=0,"",F46)</f>
        <v>1150000000</v>
      </c>
      <c r="S46" s="197" t="s">
        <v>217</v>
      </c>
      <c r="T46" s="193">
        <f t="shared" si="18"/>
        <v>0</v>
      </c>
      <c r="U46" s="198" t="str">
        <f t="shared" si="19"/>
        <v>SUBDIRECCION DE GESTION CONTRACTUAL</v>
      </c>
      <c r="V46" s="185" t="str">
        <f t="shared" si="20"/>
        <v>CO-DC</v>
      </c>
      <c r="W46" s="198" t="str">
        <f t="shared" si="21"/>
        <v>Distrito Capital de Bogotá</v>
      </c>
      <c r="X46" s="199" t="s">
        <v>40</v>
      </c>
      <c r="Y46" s="185">
        <v>2427418</v>
      </c>
      <c r="Z46" s="200" t="s">
        <v>41</v>
      </c>
    </row>
    <row r="47" spans="1:85" s="7" customFormat="1" ht="12.75" customHeight="1" x14ac:dyDescent="0.2">
      <c r="A47" s="184" t="s">
        <v>32</v>
      </c>
      <c r="B47" s="185">
        <v>41</v>
      </c>
      <c r="C47" s="203" t="s">
        <v>222</v>
      </c>
      <c r="D47" s="186" t="s">
        <v>770</v>
      </c>
      <c r="E47" s="187"/>
      <c r="F47" s="187">
        <v>332987072</v>
      </c>
      <c r="G47" s="187"/>
      <c r="H47" s="188">
        <v>80111600</v>
      </c>
      <c r="I47" s="189" t="s">
        <v>216</v>
      </c>
      <c r="J47" s="202">
        <v>2</v>
      </c>
      <c r="K47" s="202">
        <v>1</v>
      </c>
      <c r="L47" s="202">
        <v>11</v>
      </c>
      <c r="M47" s="185">
        <f t="shared" si="16"/>
        <v>1</v>
      </c>
      <c r="N47" s="193" t="s">
        <v>210</v>
      </c>
      <c r="O47" s="194" t="s">
        <v>264</v>
      </c>
      <c r="P47" s="195">
        <f t="shared" si="17"/>
        <v>1</v>
      </c>
      <c r="Q47" s="196">
        <f t="shared" si="22"/>
        <v>332987072</v>
      </c>
      <c r="R47" s="196">
        <f t="shared" si="23"/>
        <v>332987072</v>
      </c>
      <c r="S47" s="197" t="s">
        <v>217</v>
      </c>
      <c r="T47" s="193">
        <f t="shared" si="18"/>
        <v>0</v>
      </c>
      <c r="U47" s="198" t="str">
        <f t="shared" si="19"/>
        <v>SUBDIRECCION DE GESTION CONTRACTUAL</v>
      </c>
      <c r="V47" s="185" t="str">
        <f t="shared" si="20"/>
        <v>CO-DC</v>
      </c>
      <c r="W47" s="198" t="str">
        <f t="shared" si="21"/>
        <v>Distrito Capital de Bogotá</v>
      </c>
      <c r="X47" s="199" t="s">
        <v>40</v>
      </c>
      <c r="Y47" s="185">
        <v>2427418</v>
      </c>
      <c r="Z47" s="200" t="s">
        <v>41</v>
      </c>
    </row>
    <row r="48" spans="1:85" s="7" customFormat="1" ht="12.75" customHeight="1" x14ac:dyDescent="0.2">
      <c r="A48" s="184" t="s">
        <v>32</v>
      </c>
      <c r="B48" s="185">
        <v>42</v>
      </c>
      <c r="C48" s="203" t="s">
        <v>222</v>
      </c>
      <c r="D48" s="186" t="s">
        <v>770</v>
      </c>
      <c r="E48" s="187"/>
      <c r="F48" s="187">
        <f>3467012928-950000000</f>
        <v>2517012928</v>
      </c>
      <c r="G48" s="187"/>
      <c r="H48" s="188" t="s">
        <v>223</v>
      </c>
      <c r="I48" s="203" t="s">
        <v>803</v>
      </c>
      <c r="J48" s="202">
        <v>3</v>
      </c>
      <c r="K48" s="202">
        <v>4</v>
      </c>
      <c r="L48" s="202">
        <v>8</v>
      </c>
      <c r="M48" s="185">
        <f t="shared" si="16"/>
        <v>1</v>
      </c>
      <c r="N48" s="193" t="s">
        <v>36</v>
      </c>
      <c r="O48" s="194" t="s">
        <v>256</v>
      </c>
      <c r="P48" s="195">
        <f t="shared" si="17"/>
        <v>1</v>
      </c>
      <c r="Q48" s="196">
        <f t="shared" si="22"/>
        <v>2517012928</v>
      </c>
      <c r="R48" s="196">
        <f t="shared" si="23"/>
        <v>2517012928</v>
      </c>
      <c r="S48" s="197" t="s">
        <v>217</v>
      </c>
      <c r="T48" s="193">
        <f t="shared" si="18"/>
        <v>0</v>
      </c>
      <c r="U48" s="198" t="str">
        <f t="shared" si="19"/>
        <v>SUBDIRECCION DE GESTION CONTRACTUAL</v>
      </c>
      <c r="V48" s="185" t="str">
        <f t="shared" si="20"/>
        <v>CO-DC</v>
      </c>
      <c r="W48" s="198" t="str">
        <f t="shared" si="21"/>
        <v>Distrito Capital de Bogotá</v>
      </c>
      <c r="X48" s="199" t="s">
        <v>40</v>
      </c>
      <c r="Y48" s="185">
        <v>2427418</v>
      </c>
      <c r="Z48" s="200" t="s">
        <v>41</v>
      </c>
    </row>
    <row r="49" spans="1:26" s="7" customFormat="1" ht="12.75" customHeight="1" x14ac:dyDescent="0.25">
      <c r="A49" s="184" t="s">
        <v>32</v>
      </c>
      <c r="B49" s="185">
        <v>43</v>
      </c>
      <c r="C49" s="186" t="s">
        <v>222</v>
      </c>
      <c r="D49" s="186" t="s">
        <v>34</v>
      </c>
      <c r="E49" s="187"/>
      <c r="F49" s="187">
        <f>300000000-50000000+750000000</f>
        <v>1000000000</v>
      </c>
      <c r="G49" s="187"/>
      <c r="H49" s="188" t="s">
        <v>771</v>
      </c>
      <c r="I49" s="236" t="s">
        <v>219</v>
      </c>
      <c r="J49" s="202">
        <v>2</v>
      </c>
      <c r="K49" s="202">
        <v>3</v>
      </c>
      <c r="L49" s="202">
        <v>9</v>
      </c>
      <c r="M49" s="185">
        <f t="shared" si="16"/>
        <v>1</v>
      </c>
      <c r="N49" s="193" t="s">
        <v>221</v>
      </c>
      <c r="O49" s="194" t="s">
        <v>903</v>
      </c>
      <c r="P49" s="195">
        <f t="shared" si="17"/>
        <v>1</v>
      </c>
      <c r="Q49" s="196">
        <f t="shared" si="22"/>
        <v>1000000000</v>
      </c>
      <c r="R49" s="196">
        <f t="shared" si="23"/>
        <v>1000000000</v>
      </c>
      <c r="S49" s="197" t="s">
        <v>217</v>
      </c>
      <c r="T49" s="193">
        <f t="shared" si="18"/>
        <v>0</v>
      </c>
      <c r="U49" s="198" t="str">
        <f t="shared" si="19"/>
        <v>SUBDIRECCION DE GESTION CONTRACTUAL</v>
      </c>
      <c r="V49" s="185" t="str">
        <f t="shared" si="20"/>
        <v>CO-DC</v>
      </c>
      <c r="W49" s="198" t="str">
        <f t="shared" si="21"/>
        <v>Distrito Capital de Bogotá</v>
      </c>
      <c r="X49" s="199" t="s">
        <v>40</v>
      </c>
      <c r="Y49" s="185">
        <v>2427418</v>
      </c>
      <c r="Z49" s="200" t="s">
        <v>41</v>
      </c>
    </row>
    <row r="50" spans="1:26" s="7" customFormat="1" ht="12.75" customHeight="1" x14ac:dyDescent="0.2">
      <c r="A50" s="184" t="s">
        <v>32</v>
      </c>
      <c r="B50" s="185">
        <v>44</v>
      </c>
      <c r="C50" s="186" t="s">
        <v>224</v>
      </c>
      <c r="D50" s="186" t="s">
        <v>34</v>
      </c>
      <c r="E50" s="187"/>
      <c r="F50" s="187">
        <f>130000000+70000000-131164973</f>
        <v>68835027</v>
      </c>
      <c r="G50" s="187"/>
      <c r="H50" s="188" t="s">
        <v>773</v>
      </c>
      <c r="I50" s="242" t="s">
        <v>772</v>
      </c>
      <c r="J50" s="202">
        <v>3</v>
      </c>
      <c r="K50" s="202">
        <v>4</v>
      </c>
      <c r="L50" s="202">
        <v>1</v>
      </c>
      <c r="M50" s="185">
        <f t="shared" si="16"/>
        <v>1</v>
      </c>
      <c r="N50" s="193" t="s">
        <v>53</v>
      </c>
      <c r="O50" s="194" t="s">
        <v>54</v>
      </c>
      <c r="P50" s="195">
        <f t="shared" si="17"/>
        <v>1</v>
      </c>
      <c r="Q50" s="196">
        <f t="shared" si="22"/>
        <v>68835027</v>
      </c>
      <c r="R50" s="196">
        <f t="shared" si="23"/>
        <v>68835027</v>
      </c>
      <c r="S50" s="197" t="s">
        <v>217</v>
      </c>
      <c r="T50" s="193">
        <f t="shared" si="18"/>
        <v>0</v>
      </c>
      <c r="U50" s="198" t="str">
        <f t="shared" si="19"/>
        <v>SUBDIRECCION DE GESTION CONTRACTUAL</v>
      </c>
      <c r="V50" s="185" t="str">
        <f t="shared" si="20"/>
        <v>CO-DC</v>
      </c>
      <c r="W50" s="198" t="str">
        <f t="shared" si="21"/>
        <v>Distrito Capital de Bogotá</v>
      </c>
      <c r="X50" s="199" t="s">
        <v>40</v>
      </c>
      <c r="Y50" s="185">
        <v>2427418</v>
      </c>
      <c r="Z50" s="200" t="s">
        <v>41</v>
      </c>
    </row>
    <row r="51" spans="1:26" s="7" customFormat="1" ht="12.75" customHeight="1" x14ac:dyDescent="0.25">
      <c r="A51" s="184" t="s">
        <v>32</v>
      </c>
      <c r="B51" s="185">
        <v>45</v>
      </c>
      <c r="C51" s="186" t="s">
        <v>45</v>
      </c>
      <c r="D51" s="186" t="s">
        <v>34</v>
      </c>
      <c r="E51" s="187"/>
      <c r="F51" s="187">
        <v>500000000</v>
      </c>
      <c r="G51" s="187"/>
      <c r="H51" s="209">
        <v>93141700</v>
      </c>
      <c r="I51" s="243" t="s">
        <v>804</v>
      </c>
      <c r="J51" s="244">
        <v>7</v>
      </c>
      <c r="K51" s="202">
        <v>8</v>
      </c>
      <c r="L51" s="245">
        <v>3</v>
      </c>
      <c r="M51" s="185">
        <f t="shared" si="16"/>
        <v>1</v>
      </c>
      <c r="N51" s="193" t="s">
        <v>36</v>
      </c>
      <c r="O51" s="194" t="s">
        <v>256</v>
      </c>
      <c r="P51" s="195">
        <f t="shared" si="17"/>
        <v>1</v>
      </c>
      <c r="Q51" s="196">
        <f t="shared" si="22"/>
        <v>500000000</v>
      </c>
      <c r="R51" s="196">
        <f t="shared" si="23"/>
        <v>500000000</v>
      </c>
      <c r="S51" s="197" t="s">
        <v>217</v>
      </c>
      <c r="T51" s="193">
        <f t="shared" si="18"/>
        <v>0</v>
      </c>
      <c r="U51" s="198" t="str">
        <f t="shared" si="19"/>
        <v>SUBDIRECCION DE GESTION CONTRACTUAL</v>
      </c>
      <c r="V51" s="185" t="str">
        <f t="shared" si="20"/>
        <v>CO-DC</v>
      </c>
      <c r="W51" s="198" t="str">
        <f t="shared" si="21"/>
        <v>Distrito Capital de Bogotá</v>
      </c>
      <c r="X51" s="199" t="s">
        <v>40</v>
      </c>
      <c r="Y51" s="185">
        <v>2427418</v>
      </c>
      <c r="Z51" s="125" t="s">
        <v>41</v>
      </c>
    </row>
    <row r="52" spans="1:26" s="7" customFormat="1" ht="12.75" customHeight="1" x14ac:dyDescent="0.25">
      <c r="A52" s="184" t="s">
        <v>32</v>
      </c>
      <c r="B52" s="185">
        <v>46</v>
      </c>
      <c r="C52" s="186" t="s">
        <v>45</v>
      </c>
      <c r="D52" s="186" t="s">
        <v>34</v>
      </c>
      <c r="E52" s="187"/>
      <c r="F52" s="187">
        <f>1000000000-452211300-400000000-147788700</f>
        <v>0</v>
      </c>
      <c r="G52" s="187"/>
      <c r="H52" s="209" t="s">
        <v>223</v>
      </c>
      <c r="I52" s="189" t="s">
        <v>797</v>
      </c>
      <c r="J52" s="202">
        <v>6</v>
      </c>
      <c r="K52" s="202">
        <v>6</v>
      </c>
      <c r="L52" s="202">
        <v>4</v>
      </c>
      <c r="M52" s="185">
        <f t="shared" si="16"/>
        <v>1</v>
      </c>
      <c r="N52" s="193" t="s">
        <v>36</v>
      </c>
      <c r="O52" s="194" t="s">
        <v>256</v>
      </c>
      <c r="P52" s="195">
        <f t="shared" si="17"/>
        <v>1</v>
      </c>
      <c r="Q52" s="196" t="str">
        <f t="shared" si="22"/>
        <v/>
      </c>
      <c r="R52" s="196" t="str">
        <f t="shared" si="23"/>
        <v/>
      </c>
      <c r="S52" s="197" t="s">
        <v>217</v>
      </c>
      <c r="T52" s="193">
        <f t="shared" si="18"/>
        <v>0</v>
      </c>
      <c r="U52" s="198" t="str">
        <f t="shared" si="19"/>
        <v>SUBDIRECCION DE GESTION CONTRACTUAL</v>
      </c>
      <c r="V52" s="185" t="str">
        <f t="shared" si="20"/>
        <v>CO-DC</v>
      </c>
      <c r="W52" s="198" t="str">
        <f t="shared" si="21"/>
        <v>Distrito Capital de Bogotá</v>
      </c>
      <c r="X52" s="199" t="s">
        <v>40</v>
      </c>
      <c r="Y52" s="185">
        <v>2427419</v>
      </c>
      <c r="Z52" s="125" t="s">
        <v>41</v>
      </c>
    </row>
    <row r="53" spans="1:26" s="7" customFormat="1" ht="12.75" customHeight="1" x14ac:dyDescent="0.25">
      <c r="A53" s="184" t="s">
        <v>32</v>
      </c>
      <c r="B53" s="185">
        <v>47</v>
      </c>
      <c r="C53" s="186" t="s">
        <v>46</v>
      </c>
      <c r="D53" s="209" t="s">
        <v>136</v>
      </c>
      <c r="E53" s="187"/>
      <c r="F53" s="187">
        <v>40000000</v>
      </c>
      <c r="G53" s="187"/>
      <c r="H53" s="209">
        <v>78102203</v>
      </c>
      <c r="I53" s="189" t="s">
        <v>929</v>
      </c>
      <c r="J53" s="202">
        <v>6</v>
      </c>
      <c r="K53" s="202">
        <v>6</v>
      </c>
      <c r="L53" s="202">
        <v>6</v>
      </c>
      <c r="M53" s="185">
        <f t="shared" si="16"/>
        <v>1</v>
      </c>
      <c r="N53" s="193" t="s">
        <v>36</v>
      </c>
      <c r="O53" s="194" t="s">
        <v>256</v>
      </c>
      <c r="P53" s="195">
        <f t="shared" si="17"/>
        <v>1</v>
      </c>
      <c r="Q53" s="196">
        <f t="shared" ref="Q53:Q84" si="24">+E53+F53+G53</f>
        <v>40000000</v>
      </c>
      <c r="R53" s="196">
        <f t="shared" ref="R53:R84" si="25">+F53</f>
        <v>40000000</v>
      </c>
      <c r="S53" s="197" t="s">
        <v>217</v>
      </c>
      <c r="T53" s="193">
        <f t="shared" si="18"/>
        <v>0</v>
      </c>
      <c r="U53" s="198" t="str">
        <f t="shared" si="19"/>
        <v>SUBDIRECCION DE GESTION CONTRACTUAL</v>
      </c>
      <c r="V53" s="185" t="str">
        <f t="shared" si="20"/>
        <v>CO-DC</v>
      </c>
      <c r="W53" s="198" t="str">
        <f t="shared" si="21"/>
        <v>Distrito Capital de Bogotá</v>
      </c>
      <c r="X53" s="199" t="s">
        <v>40</v>
      </c>
      <c r="Y53" s="185">
        <v>2427420</v>
      </c>
      <c r="Z53" s="125" t="s">
        <v>41</v>
      </c>
    </row>
    <row r="54" spans="1:26" s="7" customFormat="1" ht="12.75" customHeight="1" x14ac:dyDescent="0.25">
      <c r="A54" s="184" t="s">
        <v>32</v>
      </c>
      <c r="B54" s="185">
        <v>48</v>
      </c>
      <c r="C54" s="186" t="s">
        <v>224</v>
      </c>
      <c r="D54" s="186" t="s">
        <v>34</v>
      </c>
      <c r="E54" s="187"/>
      <c r="F54" s="187">
        <f>200000000-200000000</f>
        <v>0</v>
      </c>
      <c r="G54" s="187"/>
      <c r="H54" s="209">
        <v>43211500</v>
      </c>
      <c r="I54" s="189" t="s">
        <v>798</v>
      </c>
      <c r="J54" s="202">
        <v>4</v>
      </c>
      <c r="K54" s="202">
        <v>4</v>
      </c>
      <c r="L54" s="202">
        <v>1</v>
      </c>
      <c r="M54" s="185">
        <f t="shared" si="16"/>
        <v>1</v>
      </c>
      <c r="N54" s="193" t="s">
        <v>53</v>
      </c>
      <c r="O54" s="194" t="s">
        <v>54</v>
      </c>
      <c r="P54" s="195">
        <f t="shared" si="17"/>
        <v>1</v>
      </c>
      <c r="Q54" s="196">
        <f t="shared" si="24"/>
        <v>0</v>
      </c>
      <c r="R54" s="196">
        <f t="shared" si="25"/>
        <v>0</v>
      </c>
      <c r="S54" s="197" t="s">
        <v>217</v>
      </c>
      <c r="T54" s="193">
        <f t="shared" si="18"/>
        <v>0</v>
      </c>
      <c r="U54" s="198" t="str">
        <f t="shared" si="19"/>
        <v>SUBDIRECCION DE GESTION CONTRACTUAL</v>
      </c>
      <c r="V54" s="185" t="str">
        <f t="shared" si="20"/>
        <v>CO-DC</v>
      </c>
      <c r="W54" s="198" t="str">
        <f t="shared" si="21"/>
        <v>Distrito Capital de Bogotá</v>
      </c>
      <c r="X54" s="199" t="s">
        <v>40</v>
      </c>
      <c r="Y54" s="185">
        <v>2427421</v>
      </c>
      <c r="Z54" s="125" t="s">
        <v>41</v>
      </c>
    </row>
    <row r="55" spans="1:26" s="7" customFormat="1" ht="12.75" customHeight="1" x14ac:dyDescent="0.25">
      <c r="A55" s="184" t="s">
        <v>170</v>
      </c>
      <c r="B55" s="185">
        <v>1</v>
      </c>
      <c r="C55" s="186" t="s">
        <v>234</v>
      </c>
      <c r="D55" s="186" t="s">
        <v>87</v>
      </c>
      <c r="E55" s="187"/>
      <c r="F55" s="187">
        <v>270000000</v>
      </c>
      <c r="G55" s="187"/>
      <c r="H55" s="188">
        <v>80111600</v>
      </c>
      <c r="I55" s="189" t="s">
        <v>235</v>
      </c>
      <c r="J55" s="190">
        <v>1</v>
      </c>
      <c r="K55" s="191">
        <v>1</v>
      </c>
      <c r="L55" s="192">
        <v>12</v>
      </c>
      <c r="M55" s="185">
        <f t="shared" si="16"/>
        <v>1</v>
      </c>
      <c r="N55" s="193" t="s">
        <v>210</v>
      </c>
      <c r="O55" s="194" t="s">
        <v>264</v>
      </c>
      <c r="P55" s="195">
        <f t="shared" si="17"/>
        <v>1</v>
      </c>
      <c r="Q55" s="196">
        <f t="shared" si="24"/>
        <v>270000000</v>
      </c>
      <c r="R55" s="196">
        <f t="shared" si="25"/>
        <v>270000000</v>
      </c>
      <c r="S55" s="197" t="s">
        <v>217</v>
      </c>
      <c r="T55" s="193">
        <f t="shared" si="18"/>
        <v>0</v>
      </c>
      <c r="U55" s="198" t="str">
        <f t="shared" si="19"/>
        <v>SUBDIRECCION DE GESTION CONTRACTUAL</v>
      </c>
      <c r="V55" s="185" t="str">
        <f t="shared" si="20"/>
        <v>CO-DC</v>
      </c>
      <c r="W55" s="198" t="str">
        <f t="shared" si="21"/>
        <v>Distrito Capital de Bogotá</v>
      </c>
      <c r="X55" s="199" t="s">
        <v>979</v>
      </c>
      <c r="Y55" s="185">
        <v>2427400</v>
      </c>
      <c r="Z55" s="125" t="s">
        <v>980</v>
      </c>
    </row>
    <row r="56" spans="1:26" s="7" customFormat="1" ht="12.75" customHeight="1" x14ac:dyDescent="0.25">
      <c r="A56" s="184" t="s">
        <v>170</v>
      </c>
      <c r="B56" s="185">
        <v>2</v>
      </c>
      <c r="C56" s="186" t="s">
        <v>234</v>
      </c>
      <c r="D56" s="186" t="s">
        <v>87</v>
      </c>
      <c r="E56" s="187"/>
      <c r="F56" s="187">
        <v>400000000</v>
      </c>
      <c r="G56" s="187"/>
      <c r="H56" s="188" t="s">
        <v>710</v>
      </c>
      <c r="I56" s="189" t="s">
        <v>236</v>
      </c>
      <c r="J56" s="190">
        <v>2</v>
      </c>
      <c r="K56" s="191">
        <v>3</v>
      </c>
      <c r="L56" s="192">
        <v>9</v>
      </c>
      <c r="M56" s="185">
        <f t="shared" si="16"/>
        <v>1</v>
      </c>
      <c r="N56" s="193" t="s">
        <v>221</v>
      </c>
      <c r="O56" s="194" t="s">
        <v>903</v>
      </c>
      <c r="P56" s="195">
        <f t="shared" si="17"/>
        <v>1</v>
      </c>
      <c r="Q56" s="196">
        <f t="shared" si="24"/>
        <v>400000000</v>
      </c>
      <c r="R56" s="196">
        <f t="shared" si="25"/>
        <v>400000000</v>
      </c>
      <c r="S56" s="197" t="s">
        <v>217</v>
      </c>
      <c r="T56" s="193">
        <f t="shared" si="18"/>
        <v>0</v>
      </c>
      <c r="U56" s="198" t="str">
        <f t="shared" si="19"/>
        <v>SUBDIRECCION DE GESTION CONTRACTUAL</v>
      </c>
      <c r="V56" s="185" t="str">
        <f t="shared" si="20"/>
        <v>CO-DC</v>
      </c>
      <c r="W56" s="198" t="str">
        <f t="shared" si="21"/>
        <v>Distrito Capital de Bogotá</v>
      </c>
      <c r="X56" s="199" t="s">
        <v>979</v>
      </c>
      <c r="Y56" s="185">
        <v>2427400</v>
      </c>
      <c r="Z56" s="125" t="s">
        <v>980</v>
      </c>
    </row>
    <row r="57" spans="1:26" s="7" customFormat="1" ht="12.75" customHeight="1" x14ac:dyDescent="0.25">
      <c r="A57" s="184" t="s">
        <v>170</v>
      </c>
      <c r="B57" s="185">
        <v>3</v>
      </c>
      <c r="C57" s="186" t="s">
        <v>234</v>
      </c>
      <c r="D57" s="186" t="s">
        <v>87</v>
      </c>
      <c r="E57" s="187"/>
      <c r="F57" s="187">
        <v>6174796609</v>
      </c>
      <c r="G57" s="187"/>
      <c r="H57" s="246" t="s">
        <v>1013</v>
      </c>
      <c r="I57" s="189" t="s">
        <v>880</v>
      </c>
      <c r="J57" s="190">
        <v>7</v>
      </c>
      <c r="K57" s="190">
        <v>7</v>
      </c>
      <c r="L57" s="192">
        <v>4</v>
      </c>
      <c r="M57" s="185">
        <f t="shared" si="16"/>
        <v>1</v>
      </c>
      <c r="N57" s="193" t="s">
        <v>36</v>
      </c>
      <c r="O57" s="194" t="s">
        <v>256</v>
      </c>
      <c r="P57" s="195">
        <f t="shared" si="17"/>
        <v>1</v>
      </c>
      <c r="Q57" s="196">
        <f t="shared" si="24"/>
        <v>6174796609</v>
      </c>
      <c r="R57" s="196">
        <f t="shared" si="25"/>
        <v>6174796609</v>
      </c>
      <c r="S57" s="197" t="s">
        <v>217</v>
      </c>
      <c r="T57" s="193">
        <f t="shared" si="18"/>
        <v>0</v>
      </c>
      <c r="U57" s="198" t="str">
        <f t="shared" si="19"/>
        <v>SUBDIRECCION DE GESTION CONTRACTUAL</v>
      </c>
      <c r="V57" s="185" t="str">
        <f t="shared" si="20"/>
        <v>CO-DC</v>
      </c>
      <c r="W57" s="198" t="str">
        <f t="shared" si="21"/>
        <v>Distrito Capital de Bogotá</v>
      </c>
      <c r="X57" s="199" t="s">
        <v>979</v>
      </c>
      <c r="Y57" s="185">
        <v>2427400</v>
      </c>
      <c r="Z57" s="125" t="s">
        <v>980</v>
      </c>
    </row>
    <row r="58" spans="1:26" s="7" customFormat="1" ht="12.75" customHeight="1" x14ac:dyDescent="0.2">
      <c r="A58" s="184" t="s">
        <v>170</v>
      </c>
      <c r="B58" s="185">
        <v>4</v>
      </c>
      <c r="C58" s="186" t="s">
        <v>234</v>
      </c>
      <c r="D58" s="186" t="s">
        <v>87</v>
      </c>
      <c r="E58" s="187"/>
      <c r="F58" s="187">
        <v>50000000</v>
      </c>
      <c r="G58" s="187"/>
      <c r="H58" s="188" t="s">
        <v>42</v>
      </c>
      <c r="I58" s="189" t="s">
        <v>250</v>
      </c>
      <c r="J58" s="190">
        <v>3</v>
      </c>
      <c r="K58" s="191">
        <v>4</v>
      </c>
      <c r="L58" s="192">
        <v>9</v>
      </c>
      <c r="M58" s="185">
        <f t="shared" si="16"/>
        <v>1</v>
      </c>
      <c r="N58" s="193" t="s">
        <v>61</v>
      </c>
      <c r="O58" s="194" t="s">
        <v>902</v>
      </c>
      <c r="P58" s="195">
        <f t="shared" si="17"/>
        <v>1</v>
      </c>
      <c r="Q58" s="196">
        <f t="shared" si="24"/>
        <v>50000000</v>
      </c>
      <c r="R58" s="196">
        <f t="shared" si="25"/>
        <v>50000000</v>
      </c>
      <c r="S58" s="197" t="s">
        <v>217</v>
      </c>
      <c r="T58" s="193">
        <f t="shared" si="18"/>
        <v>0</v>
      </c>
      <c r="U58" s="198" t="str">
        <f t="shared" si="19"/>
        <v>SUBDIRECCION DE GESTION CONTRACTUAL</v>
      </c>
      <c r="V58" s="185" t="str">
        <f t="shared" si="20"/>
        <v>CO-DC</v>
      </c>
      <c r="W58" s="198" t="str">
        <f t="shared" si="21"/>
        <v>Distrito Capital de Bogotá</v>
      </c>
      <c r="X58" s="199" t="s">
        <v>321</v>
      </c>
      <c r="Y58" s="185">
        <v>2427400</v>
      </c>
      <c r="Z58" s="200" t="s">
        <v>75</v>
      </c>
    </row>
    <row r="59" spans="1:26" s="7" customFormat="1" ht="12.75" customHeight="1" x14ac:dyDescent="0.2">
      <c r="A59" s="184" t="s">
        <v>170</v>
      </c>
      <c r="B59" s="185">
        <v>5</v>
      </c>
      <c r="C59" s="186" t="s">
        <v>237</v>
      </c>
      <c r="D59" s="186" t="s">
        <v>173</v>
      </c>
      <c r="E59" s="187"/>
      <c r="F59" s="187">
        <f>2000000000+600000000+80000000</f>
        <v>2680000000</v>
      </c>
      <c r="G59" s="187"/>
      <c r="H59" s="188">
        <v>80111600</v>
      </c>
      <c r="I59" s="189" t="s">
        <v>235</v>
      </c>
      <c r="J59" s="190">
        <v>1</v>
      </c>
      <c r="K59" s="191">
        <v>1</v>
      </c>
      <c r="L59" s="192">
        <v>12</v>
      </c>
      <c r="M59" s="185">
        <f t="shared" si="16"/>
        <v>1</v>
      </c>
      <c r="N59" s="193" t="s">
        <v>210</v>
      </c>
      <c r="O59" s="194" t="s">
        <v>264</v>
      </c>
      <c r="P59" s="195">
        <f t="shared" si="17"/>
        <v>1</v>
      </c>
      <c r="Q59" s="196">
        <f t="shared" si="24"/>
        <v>2680000000</v>
      </c>
      <c r="R59" s="196">
        <f t="shared" si="25"/>
        <v>2680000000</v>
      </c>
      <c r="S59" s="197" t="s">
        <v>217</v>
      </c>
      <c r="T59" s="193">
        <f t="shared" si="18"/>
        <v>0</v>
      </c>
      <c r="U59" s="198" t="str">
        <f t="shared" si="19"/>
        <v>SUBDIRECCION DE GESTION CONTRACTUAL</v>
      </c>
      <c r="V59" s="185" t="str">
        <f t="shared" si="20"/>
        <v>CO-DC</v>
      </c>
      <c r="W59" s="198" t="str">
        <f t="shared" si="21"/>
        <v>Distrito Capital de Bogotá</v>
      </c>
      <c r="X59" s="199" t="s">
        <v>171</v>
      </c>
      <c r="Y59" s="185">
        <v>2427400</v>
      </c>
      <c r="Z59" s="200" t="s">
        <v>172</v>
      </c>
    </row>
    <row r="60" spans="1:26" s="7" customFormat="1" ht="12.75" customHeight="1" x14ac:dyDescent="0.25">
      <c r="A60" s="184" t="s">
        <v>170</v>
      </c>
      <c r="B60" s="185">
        <v>6</v>
      </c>
      <c r="C60" s="186" t="s">
        <v>237</v>
      </c>
      <c r="D60" s="186" t="s">
        <v>173</v>
      </c>
      <c r="E60" s="187"/>
      <c r="F60" s="187">
        <v>950000000</v>
      </c>
      <c r="G60" s="187"/>
      <c r="H60" s="188" t="s">
        <v>710</v>
      </c>
      <c r="I60" s="189" t="s">
        <v>236</v>
      </c>
      <c r="J60" s="190">
        <v>2</v>
      </c>
      <c r="K60" s="191">
        <v>3</v>
      </c>
      <c r="L60" s="192">
        <v>9</v>
      </c>
      <c r="M60" s="185">
        <f t="shared" si="16"/>
        <v>1</v>
      </c>
      <c r="N60" s="193" t="s">
        <v>221</v>
      </c>
      <c r="O60" s="194" t="s">
        <v>903</v>
      </c>
      <c r="P60" s="195">
        <f t="shared" si="17"/>
        <v>1</v>
      </c>
      <c r="Q60" s="196">
        <f t="shared" si="24"/>
        <v>950000000</v>
      </c>
      <c r="R60" s="196">
        <f t="shared" si="25"/>
        <v>950000000</v>
      </c>
      <c r="S60" s="197" t="s">
        <v>217</v>
      </c>
      <c r="T60" s="193">
        <f t="shared" si="18"/>
        <v>0</v>
      </c>
      <c r="U60" s="198" t="str">
        <f t="shared" si="19"/>
        <v>SUBDIRECCION DE GESTION CONTRACTUAL</v>
      </c>
      <c r="V60" s="185" t="str">
        <f t="shared" si="20"/>
        <v>CO-DC</v>
      </c>
      <c r="W60" s="198" t="str">
        <f t="shared" si="21"/>
        <v>Distrito Capital de Bogotá</v>
      </c>
      <c r="X60" s="199" t="s">
        <v>979</v>
      </c>
      <c r="Y60" s="185">
        <v>2427400</v>
      </c>
      <c r="Z60" s="125" t="s">
        <v>980</v>
      </c>
    </row>
    <row r="61" spans="1:26" s="7" customFormat="1" ht="12.75" customHeight="1" x14ac:dyDescent="0.25">
      <c r="A61" s="184" t="s">
        <v>170</v>
      </c>
      <c r="B61" s="185">
        <v>7</v>
      </c>
      <c r="C61" s="186" t="s">
        <v>237</v>
      </c>
      <c r="D61" s="186" t="s">
        <v>173</v>
      </c>
      <c r="E61" s="187"/>
      <c r="F61" s="187">
        <v>350000000</v>
      </c>
      <c r="G61" s="187"/>
      <c r="H61" s="246" t="s">
        <v>1026</v>
      </c>
      <c r="I61" s="205" t="s">
        <v>1014</v>
      </c>
      <c r="J61" s="190">
        <v>8</v>
      </c>
      <c r="K61" s="191" t="s">
        <v>826</v>
      </c>
      <c r="L61" s="192">
        <v>4</v>
      </c>
      <c r="M61" s="185">
        <f t="shared" si="16"/>
        <v>1</v>
      </c>
      <c r="N61" s="193" t="s">
        <v>36</v>
      </c>
      <c r="O61" s="194" t="s">
        <v>256</v>
      </c>
      <c r="P61" s="195">
        <f t="shared" si="17"/>
        <v>1</v>
      </c>
      <c r="Q61" s="196">
        <f t="shared" si="24"/>
        <v>350000000</v>
      </c>
      <c r="R61" s="196">
        <f t="shared" si="25"/>
        <v>350000000</v>
      </c>
      <c r="S61" s="197" t="s">
        <v>217</v>
      </c>
      <c r="T61" s="193">
        <f t="shared" si="18"/>
        <v>0</v>
      </c>
      <c r="U61" s="198" t="str">
        <f t="shared" si="19"/>
        <v>SUBDIRECCION DE GESTION CONTRACTUAL</v>
      </c>
      <c r="V61" s="185" t="str">
        <f t="shared" si="20"/>
        <v>CO-DC</v>
      </c>
      <c r="W61" s="198" t="str">
        <f t="shared" si="21"/>
        <v>Distrito Capital de Bogotá</v>
      </c>
      <c r="X61" s="199" t="s">
        <v>979</v>
      </c>
      <c r="Y61" s="185">
        <v>2427400</v>
      </c>
      <c r="Z61" s="125" t="s">
        <v>980</v>
      </c>
    </row>
    <row r="62" spans="1:26" s="7" customFormat="1" ht="12.75" customHeight="1" x14ac:dyDescent="0.25">
      <c r="A62" s="184" t="s">
        <v>170</v>
      </c>
      <c r="B62" s="185">
        <v>8</v>
      </c>
      <c r="C62" s="186" t="s">
        <v>237</v>
      </c>
      <c r="D62" s="186" t="s">
        <v>173</v>
      </c>
      <c r="E62" s="187"/>
      <c r="F62" s="187">
        <v>200000000</v>
      </c>
      <c r="G62" s="187"/>
      <c r="H62" s="188" t="s">
        <v>915</v>
      </c>
      <c r="I62" s="189" t="s">
        <v>1015</v>
      </c>
      <c r="J62" s="190">
        <v>8</v>
      </c>
      <c r="K62" s="191" t="s">
        <v>826</v>
      </c>
      <c r="L62" s="192">
        <v>4</v>
      </c>
      <c r="M62" s="185">
        <f t="shared" si="16"/>
        <v>1</v>
      </c>
      <c r="N62" s="193" t="s">
        <v>36</v>
      </c>
      <c r="O62" s="194" t="s">
        <v>256</v>
      </c>
      <c r="P62" s="195">
        <f t="shared" si="17"/>
        <v>1</v>
      </c>
      <c r="Q62" s="196">
        <f t="shared" si="24"/>
        <v>200000000</v>
      </c>
      <c r="R62" s="196">
        <f t="shared" si="25"/>
        <v>200000000</v>
      </c>
      <c r="S62" s="197" t="s">
        <v>217</v>
      </c>
      <c r="T62" s="193">
        <f t="shared" si="18"/>
        <v>0</v>
      </c>
      <c r="U62" s="198" t="str">
        <f t="shared" si="19"/>
        <v>SUBDIRECCION DE GESTION CONTRACTUAL</v>
      </c>
      <c r="V62" s="185" t="str">
        <f t="shared" si="20"/>
        <v>CO-DC</v>
      </c>
      <c r="W62" s="198" t="str">
        <f t="shared" si="21"/>
        <v>Distrito Capital de Bogotá</v>
      </c>
      <c r="X62" s="199" t="s">
        <v>979</v>
      </c>
      <c r="Y62" s="185">
        <v>2427400</v>
      </c>
      <c r="Z62" s="125" t="s">
        <v>980</v>
      </c>
    </row>
    <row r="63" spans="1:26" s="7" customFormat="1" ht="12.75" customHeight="1" x14ac:dyDescent="0.25">
      <c r="A63" s="184" t="s">
        <v>170</v>
      </c>
      <c r="B63" s="185">
        <v>9</v>
      </c>
      <c r="C63" s="186" t="s">
        <v>237</v>
      </c>
      <c r="D63" s="186" t="s">
        <v>173</v>
      </c>
      <c r="E63" s="187"/>
      <c r="F63" s="187">
        <f>800000000-400000000+700000000-1100000000</f>
        <v>0</v>
      </c>
      <c r="G63" s="187"/>
      <c r="H63" s="188" t="s">
        <v>915</v>
      </c>
      <c r="I63" s="189" t="s">
        <v>922</v>
      </c>
      <c r="J63" s="190">
        <v>6</v>
      </c>
      <c r="K63" s="190">
        <v>6</v>
      </c>
      <c r="L63" s="192">
        <v>5</v>
      </c>
      <c r="M63" s="185">
        <f t="shared" si="16"/>
        <v>1</v>
      </c>
      <c r="N63" s="193" t="s">
        <v>36</v>
      </c>
      <c r="O63" s="194" t="s">
        <v>256</v>
      </c>
      <c r="P63" s="195">
        <f t="shared" si="17"/>
        <v>1</v>
      </c>
      <c r="Q63" s="196">
        <f t="shared" si="24"/>
        <v>0</v>
      </c>
      <c r="R63" s="196">
        <f t="shared" si="25"/>
        <v>0</v>
      </c>
      <c r="S63" s="197" t="s">
        <v>217</v>
      </c>
      <c r="T63" s="193">
        <f t="shared" si="18"/>
        <v>0</v>
      </c>
      <c r="U63" s="198" t="str">
        <f t="shared" si="19"/>
        <v>SUBDIRECCION DE GESTION CONTRACTUAL</v>
      </c>
      <c r="V63" s="185" t="str">
        <f t="shared" si="20"/>
        <v>CO-DC</v>
      </c>
      <c r="W63" s="198" t="str">
        <f t="shared" si="21"/>
        <v>Distrito Capital de Bogotá</v>
      </c>
      <c r="X63" s="199" t="s">
        <v>979</v>
      </c>
      <c r="Y63" s="185">
        <v>2427400</v>
      </c>
      <c r="Z63" s="125" t="s">
        <v>980</v>
      </c>
    </row>
    <row r="64" spans="1:26" s="7" customFormat="1" ht="12.75" customHeight="1" x14ac:dyDescent="0.25">
      <c r="A64" s="184" t="s">
        <v>170</v>
      </c>
      <c r="B64" s="185">
        <v>10</v>
      </c>
      <c r="C64" s="186" t="s">
        <v>239</v>
      </c>
      <c r="D64" s="186" t="s">
        <v>173</v>
      </c>
      <c r="E64" s="187"/>
      <c r="F64" s="187">
        <f>2060000000+40000000</f>
        <v>2100000000</v>
      </c>
      <c r="G64" s="187"/>
      <c r="H64" s="188">
        <v>80111600</v>
      </c>
      <c r="I64" s="189" t="s">
        <v>235</v>
      </c>
      <c r="J64" s="190">
        <v>1</v>
      </c>
      <c r="K64" s="191">
        <v>1</v>
      </c>
      <c r="L64" s="192">
        <v>12</v>
      </c>
      <c r="M64" s="185">
        <f t="shared" si="16"/>
        <v>1</v>
      </c>
      <c r="N64" s="193" t="s">
        <v>210</v>
      </c>
      <c r="O64" s="194" t="s">
        <v>264</v>
      </c>
      <c r="P64" s="195">
        <f t="shared" si="17"/>
        <v>1</v>
      </c>
      <c r="Q64" s="196">
        <f t="shared" si="24"/>
        <v>2100000000</v>
      </c>
      <c r="R64" s="196">
        <f t="shared" si="25"/>
        <v>2100000000</v>
      </c>
      <c r="S64" s="197" t="s">
        <v>217</v>
      </c>
      <c r="T64" s="193">
        <f t="shared" si="18"/>
        <v>0</v>
      </c>
      <c r="U64" s="198" t="str">
        <f t="shared" si="19"/>
        <v>SUBDIRECCION DE GESTION CONTRACTUAL</v>
      </c>
      <c r="V64" s="185" t="str">
        <f t="shared" si="20"/>
        <v>CO-DC</v>
      </c>
      <c r="W64" s="198" t="str">
        <f t="shared" si="21"/>
        <v>Distrito Capital de Bogotá</v>
      </c>
      <c r="X64" s="199" t="s">
        <v>979</v>
      </c>
      <c r="Y64" s="185">
        <v>2427400</v>
      </c>
      <c r="Z64" s="125" t="s">
        <v>980</v>
      </c>
    </row>
    <row r="65" spans="1:26" s="7" customFormat="1" ht="12.75" customHeight="1" x14ac:dyDescent="0.25">
      <c r="A65" s="184" t="s">
        <v>170</v>
      </c>
      <c r="B65" s="185">
        <v>11</v>
      </c>
      <c r="C65" s="186" t="s">
        <v>239</v>
      </c>
      <c r="D65" s="186" t="s">
        <v>173</v>
      </c>
      <c r="E65" s="187"/>
      <c r="F65" s="187">
        <f>2719000000-500000000-800000000</f>
        <v>1419000000</v>
      </c>
      <c r="G65" s="187"/>
      <c r="H65" s="188" t="s">
        <v>710</v>
      </c>
      <c r="I65" s="189" t="s">
        <v>236</v>
      </c>
      <c r="J65" s="190">
        <v>2</v>
      </c>
      <c r="K65" s="191">
        <v>3</v>
      </c>
      <c r="L65" s="192">
        <v>9</v>
      </c>
      <c r="M65" s="185">
        <f t="shared" si="16"/>
        <v>1</v>
      </c>
      <c r="N65" s="193" t="s">
        <v>221</v>
      </c>
      <c r="O65" s="194" t="s">
        <v>903</v>
      </c>
      <c r="P65" s="195">
        <f t="shared" si="17"/>
        <v>1</v>
      </c>
      <c r="Q65" s="196">
        <f t="shared" si="24"/>
        <v>1419000000</v>
      </c>
      <c r="R65" s="196">
        <f t="shared" si="25"/>
        <v>1419000000</v>
      </c>
      <c r="S65" s="197" t="s">
        <v>217</v>
      </c>
      <c r="T65" s="193">
        <f t="shared" si="18"/>
        <v>0</v>
      </c>
      <c r="U65" s="198" t="str">
        <f t="shared" si="19"/>
        <v>SUBDIRECCION DE GESTION CONTRACTUAL</v>
      </c>
      <c r="V65" s="185" t="str">
        <f t="shared" si="20"/>
        <v>CO-DC</v>
      </c>
      <c r="W65" s="198" t="str">
        <f t="shared" si="21"/>
        <v>Distrito Capital de Bogotá</v>
      </c>
      <c r="X65" s="199" t="s">
        <v>979</v>
      </c>
      <c r="Y65" s="185">
        <v>2427400</v>
      </c>
      <c r="Z65" s="125" t="s">
        <v>980</v>
      </c>
    </row>
    <row r="66" spans="1:26" s="7" customFormat="1" ht="12.75" customHeight="1" x14ac:dyDescent="0.25">
      <c r="A66" s="184" t="s">
        <v>170</v>
      </c>
      <c r="B66" s="185">
        <v>12</v>
      </c>
      <c r="C66" s="186" t="s">
        <v>239</v>
      </c>
      <c r="D66" s="186" t="s">
        <v>173</v>
      </c>
      <c r="E66" s="187"/>
      <c r="F66" s="187">
        <v>1500000000</v>
      </c>
      <c r="G66" s="187"/>
      <c r="H66" s="188" t="s">
        <v>915</v>
      </c>
      <c r="I66" s="189" t="s">
        <v>1015</v>
      </c>
      <c r="J66" s="190">
        <v>8</v>
      </c>
      <c r="K66" s="191" t="s">
        <v>826</v>
      </c>
      <c r="L66" s="192">
        <v>4</v>
      </c>
      <c r="M66" s="185">
        <f t="shared" si="16"/>
        <v>1</v>
      </c>
      <c r="N66" s="193" t="s">
        <v>36</v>
      </c>
      <c r="O66" s="194" t="s">
        <v>256</v>
      </c>
      <c r="P66" s="195">
        <f t="shared" si="17"/>
        <v>1</v>
      </c>
      <c r="Q66" s="196">
        <f t="shared" si="24"/>
        <v>1500000000</v>
      </c>
      <c r="R66" s="196">
        <f t="shared" si="25"/>
        <v>1500000000</v>
      </c>
      <c r="S66" s="197" t="s">
        <v>217</v>
      </c>
      <c r="T66" s="193">
        <f t="shared" si="18"/>
        <v>0</v>
      </c>
      <c r="U66" s="198" t="str">
        <f t="shared" si="19"/>
        <v>SUBDIRECCION DE GESTION CONTRACTUAL</v>
      </c>
      <c r="V66" s="185" t="str">
        <f t="shared" si="20"/>
        <v>CO-DC</v>
      </c>
      <c r="W66" s="198" t="str">
        <f t="shared" si="21"/>
        <v>Distrito Capital de Bogotá</v>
      </c>
      <c r="X66" s="199" t="s">
        <v>979</v>
      </c>
      <c r="Y66" s="185">
        <v>2427400</v>
      </c>
      <c r="Z66" s="125" t="s">
        <v>980</v>
      </c>
    </row>
    <row r="67" spans="1:26" s="7" customFormat="1" ht="12.75" customHeight="1" x14ac:dyDescent="0.2">
      <c r="A67" s="184" t="s">
        <v>170</v>
      </c>
      <c r="B67" s="185">
        <v>13</v>
      </c>
      <c r="C67" s="186" t="s">
        <v>239</v>
      </c>
      <c r="D67" s="186" t="s">
        <v>173</v>
      </c>
      <c r="E67" s="187"/>
      <c r="F67" s="187">
        <f>1500000000-200000000</f>
        <v>1300000000</v>
      </c>
      <c r="G67" s="187"/>
      <c r="H67" s="246" t="s">
        <v>1025</v>
      </c>
      <c r="I67" s="189" t="s">
        <v>917</v>
      </c>
      <c r="J67" s="190">
        <v>8</v>
      </c>
      <c r="K67" s="191" t="s">
        <v>826</v>
      </c>
      <c r="L67" s="192">
        <v>4</v>
      </c>
      <c r="M67" s="185">
        <f t="shared" si="16"/>
        <v>1</v>
      </c>
      <c r="N67" s="193" t="s">
        <v>36</v>
      </c>
      <c r="O67" s="194" t="s">
        <v>256</v>
      </c>
      <c r="P67" s="195">
        <f t="shared" si="17"/>
        <v>1</v>
      </c>
      <c r="Q67" s="196">
        <f t="shared" si="24"/>
        <v>1300000000</v>
      </c>
      <c r="R67" s="196">
        <f t="shared" si="25"/>
        <v>1300000000</v>
      </c>
      <c r="S67" s="197" t="s">
        <v>217</v>
      </c>
      <c r="T67" s="193">
        <f t="shared" si="18"/>
        <v>0</v>
      </c>
      <c r="U67" s="198" t="str">
        <f t="shared" si="19"/>
        <v>SUBDIRECCION DE GESTION CONTRACTUAL</v>
      </c>
      <c r="V67" s="185" t="str">
        <f t="shared" si="20"/>
        <v>CO-DC</v>
      </c>
      <c r="W67" s="198" t="str">
        <f t="shared" si="21"/>
        <v>Distrito Capital de Bogotá</v>
      </c>
      <c r="X67" s="199" t="s">
        <v>979</v>
      </c>
      <c r="Y67" s="185">
        <v>2427400</v>
      </c>
      <c r="Z67" s="200" t="s">
        <v>980</v>
      </c>
    </row>
    <row r="68" spans="1:26" s="7" customFormat="1" ht="12.75" customHeight="1" x14ac:dyDescent="0.25">
      <c r="A68" s="184" t="s">
        <v>170</v>
      </c>
      <c r="B68" s="185">
        <v>14</v>
      </c>
      <c r="C68" s="186" t="s">
        <v>239</v>
      </c>
      <c r="D68" s="186" t="s">
        <v>173</v>
      </c>
      <c r="E68" s="187"/>
      <c r="F68" s="187">
        <v>500000000</v>
      </c>
      <c r="G68" s="187"/>
      <c r="H68" s="246" t="s">
        <v>1025</v>
      </c>
      <c r="I68" s="189" t="s">
        <v>1016</v>
      </c>
      <c r="J68" s="190">
        <v>8</v>
      </c>
      <c r="K68" s="191" t="s">
        <v>826</v>
      </c>
      <c r="L68" s="192">
        <v>4</v>
      </c>
      <c r="M68" s="185">
        <f t="shared" si="16"/>
        <v>1</v>
      </c>
      <c r="N68" s="193" t="s">
        <v>36</v>
      </c>
      <c r="O68" s="194" t="s">
        <v>256</v>
      </c>
      <c r="P68" s="195">
        <f t="shared" si="17"/>
        <v>1</v>
      </c>
      <c r="Q68" s="196">
        <f t="shared" si="24"/>
        <v>500000000</v>
      </c>
      <c r="R68" s="196">
        <f t="shared" si="25"/>
        <v>500000000</v>
      </c>
      <c r="S68" s="197" t="s">
        <v>217</v>
      </c>
      <c r="T68" s="193">
        <f t="shared" si="18"/>
        <v>0</v>
      </c>
      <c r="U68" s="198" t="str">
        <f t="shared" si="19"/>
        <v>SUBDIRECCION DE GESTION CONTRACTUAL</v>
      </c>
      <c r="V68" s="185" t="str">
        <f t="shared" si="20"/>
        <v>CO-DC</v>
      </c>
      <c r="W68" s="198" t="str">
        <f t="shared" si="21"/>
        <v>Distrito Capital de Bogotá</v>
      </c>
      <c r="X68" s="199" t="s">
        <v>979</v>
      </c>
      <c r="Y68" s="185">
        <v>2427400</v>
      </c>
      <c r="Z68" s="125" t="s">
        <v>980</v>
      </c>
    </row>
    <row r="69" spans="1:26" s="7" customFormat="1" ht="12.75" customHeight="1" x14ac:dyDescent="0.25">
      <c r="A69" s="184" t="s">
        <v>170</v>
      </c>
      <c r="B69" s="185">
        <v>15</v>
      </c>
      <c r="C69" s="186" t="s">
        <v>239</v>
      </c>
      <c r="D69" s="186" t="s">
        <v>173</v>
      </c>
      <c r="E69" s="187"/>
      <c r="F69" s="187">
        <v>400000000</v>
      </c>
      <c r="G69" s="187"/>
      <c r="H69" s="246" t="s">
        <v>1026</v>
      </c>
      <c r="I69" s="205" t="s">
        <v>1017</v>
      </c>
      <c r="J69" s="190">
        <v>8</v>
      </c>
      <c r="K69" s="191" t="s">
        <v>826</v>
      </c>
      <c r="L69" s="192">
        <v>4</v>
      </c>
      <c r="M69" s="185">
        <f t="shared" si="16"/>
        <v>1</v>
      </c>
      <c r="N69" s="193" t="s">
        <v>36</v>
      </c>
      <c r="O69" s="194" t="s">
        <v>256</v>
      </c>
      <c r="P69" s="195">
        <f t="shared" si="17"/>
        <v>1</v>
      </c>
      <c r="Q69" s="196">
        <f t="shared" si="24"/>
        <v>400000000</v>
      </c>
      <c r="R69" s="196">
        <f t="shared" si="25"/>
        <v>400000000</v>
      </c>
      <c r="S69" s="197" t="s">
        <v>217</v>
      </c>
      <c r="T69" s="193">
        <f t="shared" si="18"/>
        <v>0</v>
      </c>
      <c r="U69" s="198" t="str">
        <f t="shared" si="19"/>
        <v>SUBDIRECCION DE GESTION CONTRACTUAL</v>
      </c>
      <c r="V69" s="185" t="str">
        <f t="shared" si="20"/>
        <v>CO-DC</v>
      </c>
      <c r="W69" s="198" t="str">
        <f t="shared" si="21"/>
        <v>Distrito Capital de Bogotá</v>
      </c>
      <c r="X69" s="199" t="s">
        <v>979</v>
      </c>
      <c r="Y69" s="185">
        <v>2427400</v>
      </c>
      <c r="Z69" s="125" t="s">
        <v>980</v>
      </c>
    </row>
    <row r="70" spans="1:26" s="7" customFormat="1" ht="12.75" customHeight="1" x14ac:dyDescent="0.25">
      <c r="A70" s="184" t="s">
        <v>170</v>
      </c>
      <c r="B70" s="185">
        <v>16</v>
      </c>
      <c r="C70" s="186" t="s">
        <v>234</v>
      </c>
      <c r="D70" s="186" t="s">
        <v>173</v>
      </c>
      <c r="E70" s="187"/>
      <c r="F70" s="187">
        <f>1600000000-550000000</f>
        <v>1050000000</v>
      </c>
      <c r="G70" s="187"/>
      <c r="H70" s="188">
        <v>80111600</v>
      </c>
      <c r="I70" s="189" t="s">
        <v>235</v>
      </c>
      <c r="J70" s="190">
        <v>1</v>
      </c>
      <c r="K70" s="191">
        <v>1</v>
      </c>
      <c r="L70" s="192">
        <v>12</v>
      </c>
      <c r="M70" s="185">
        <f t="shared" si="16"/>
        <v>1</v>
      </c>
      <c r="N70" s="193" t="s">
        <v>210</v>
      </c>
      <c r="O70" s="194" t="s">
        <v>264</v>
      </c>
      <c r="P70" s="195">
        <f t="shared" si="17"/>
        <v>1</v>
      </c>
      <c r="Q70" s="196">
        <f t="shared" si="24"/>
        <v>1050000000</v>
      </c>
      <c r="R70" s="196">
        <f t="shared" si="25"/>
        <v>1050000000</v>
      </c>
      <c r="S70" s="197" t="s">
        <v>217</v>
      </c>
      <c r="T70" s="193">
        <f t="shared" si="18"/>
        <v>0</v>
      </c>
      <c r="U70" s="198" t="str">
        <f t="shared" si="19"/>
        <v>SUBDIRECCION DE GESTION CONTRACTUAL</v>
      </c>
      <c r="V70" s="185" t="str">
        <f t="shared" si="20"/>
        <v>CO-DC</v>
      </c>
      <c r="W70" s="198" t="str">
        <f t="shared" si="21"/>
        <v>Distrito Capital de Bogotá</v>
      </c>
      <c r="X70" s="199" t="s">
        <v>979</v>
      </c>
      <c r="Y70" s="185">
        <v>2427400</v>
      </c>
      <c r="Z70" s="125" t="s">
        <v>980</v>
      </c>
    </row>
    <row r="71" spans="1:26" s="7" customFormat="1" ht="12.75" customHeight="1" x14ac:dyDescent="0.25">
      <c r="A71" s="184" t="s">
        <v>170</v>
      </c>
      <c r="B71" s="185">
        <v>17</v>
      </c>
      <c r="C71" s="186" t="s">
        <v>234</v>
      </c>
      <c r="D71" s="186" t="s">
        <v>173</v>
      </c>
      <c r="E71" s="187"/>
      <c r="F71" s="187">
        <f>1100000000-100000000</f>
        <v>1000000000</v>
      </c>
      <c r="G71" s="187"/>
      <c r="H71" s="188" t="s">
        <v>710</v>
      </c>
      <c r="I71" s="189" t="s">
        <v>236</v>
      </c>
      <c r="J71" s="190">
        <v>2</v>
      </c>
      <c r="K71" s="191">
        <v>3</v>
      </c>
      <c r="L71" s="192">
        <v>9</v>
      </c>
      <c r="M71" s="185">
        <f t="shared" si="16"/>
        <v>1</v>
      </c>
      <c r="N71" s="193" t="s">
        <v>221</v>
      </c>
      <c r="O71" s="194" t="s">
        <v>903</v>
      </c>
      <c r="P71" s="195">
        <f t="shared" si="17"/>
        <v>1</v>
      </c>
      <c r="Q71" s="196">
        <f t="shared" si="24"/>
        <v>1000000000</v>
      </c>
      <c r="R71" s="196">
        <f t="shared" si="25"/>
        <v>1000000000</v>
      </c>
      <c r="S71" s="197" t="s">
        <v>217</v>
      </c>
      <c r="T71" s="193">
        <f t="shared" si="18"/>
        <v>0</v>
      </c>
      <c r="U71" s="198" t="str">
        <f t="shared" si="19"/>
        <v>SUBDIRECCION DE GESTION CONTRACTUAL</v>
      </c>
      <c r="V71" s="185" t="str">
        <f t="shared" si="20"/>
        <v>CO-DC</v>
      </c>
      <c r="W71" s="198" t="str">
        <f t="shared" si="21"/>
        <v>Distrito Capital de Bogotá</v>
      </c>
      <c r="X71" s="199" t="s">
        <v>979</v>
      </c>
      <c r="Y71" s="185">
        <v>2427400</v>
      </c>
      <c r="Z71" s="125" t="s">
        <v>980</v>
      </c>
    </row>
    <row r="72" spans="1:26" s="7" customFormat="1" ht="12.75" customHeight="1" x14ac:dyDescent="0.25">
      <c r="A72" s="184" t="s">
        <v>170</v>
      </c>
      <c r="B72" s="185">
        <v>18</v>
      </c>
      <c r="C72" s="186" t="s">
        <v>234</v>
      </c>
      <c r="D72" s="186" t="s">
        <v>173</v>
      </c>
      <c r="E72" s="187"/>
      <c r="F72" s="187">
        <v>900000000</v>
      </c>
      <c r="G72" s="187"/>
      <c r="H72" s="188" t="s">
        <v>915</v>
      </c>
      <c r="I72" s="189" t="s">
        <v>1015</v>
      </c>
      <c r="J72" s="190">
        <v>8</v>
      </c>
      <c r="K72" s="191" t="s">
        <v>826</v>
      </c>
      <c r="L72" s="192">
        <v>4</v>
      </c>
      <c r="M72" s="185">
        <f t="shared" si="16"/>
        <v>1</v>
      </c>
      <c r="N72" s="193" t="s">
        <v>36</v>
      </c>
      <c r="O72" s="194" t="s">
        <v>256</v>
      </c>
      <c r="P72" s="195">
        <f t="shared" si="17"/>
        <v>1</v>
      </c>
      <c r="Q72" s="196">
        <f t="shared" si="24"/>
        <v>900000000</v>
      </c>
      <c r="R72" s="196">
        <f t="shared" si="25"/>
        <v>900000000</v>
      </c>
      <c r="S72" s="197" t="s">
        <v>217</v>
      </c>
      <c r="T72" s="193">
        <f t="shared" si="18"/>
        <v>0</v>
      </c>
      <c r="U72" s="198" t="str">
        <f t="shared" si="19"/>
        <v>SUBDIRECCION DE GESTION CONTRACTUAL</v>
      </c>
      <c r="V72" s="185" t="str">
        <f t="shared" si="20"/>
        <v>CO-DC</v>
      </c>
      <c r="W72" s="198" t="str">
        <f t="shared" si="21"/>
        <v>Distrito Capital de Bogotá</v>
      </c>
      <c r="X72" s="199" t="s">
        <v>979</v>
      </c>
      <c r="Y72" s="185">
        <v>2427400</v>
      </c>
      <c r="Z72" s="125" t="s">
        <v>980</v>
      </c>
    </row>
    <row r="73" spans="1:26" s="7" customFormat="1" ht="12.75" customHeight="1" x14ac:dyDescent="0.25">
      <c r="A73" s="184" t="s">
        <v>170</v>
      </c>
      <c r="B73" s="185">
        <v>19</v>
      </c>
      <c r="C73" s="186" t="s">
        <v>234</v>
      </c>
      <c r="D73" s="186" t="s">
        <v>173</v>
      </c>
      <c r="E73" s="187"/>
      <c r="F73" s="187">
        <f>1700000000-1700000000</f>
        <v>0</v>
      </c>
      <c r="G73" s="187"/>
      <c r="H73" s="188" t="s">
        <v>711</v>
      </c>
      <c r="I73" s="189" t="s">
        <v>240</v>
      </c>
      <c r="J73" s="190">
        <v>5</v>
      </c>
      <c r="K73" s="191">
        <v>5</v>
      </c>
      <c r="L73" s="192">
        <v>6</v>
      </c>
      <c r="M73" s="185">
        <f t="shared" si="16"/>
        <v>1</v>
      </c>
      <c r="N73" s="193" t="s">
        <v>36</v>
      </c>
      <c r="O73" s="194" t="s">
        <v>256</v>
      </c>
      <c r="P73" s="195">
        <f t="shared" si="17"/>
        <v>1</v>
      </c>
      <c r="Q73" s="196">
        <f t="shared" si="24"/>
        <v>0</v>
      </c>
      <c r="R73" s="196">
        <f t="shared" si="25"/>
        <v>0</v>
      </c>
      <c r="S73" s="197" t="s">
        <v>217</v>
      </c>
      <c r="T73" s="193">
        <f t="shared" si="18"/>
        <v>0</v>
      </c>
      <c r="U73" s="198" t="str">
        <f t="shared" si="19"/>
        <v>SUBDIRECCION DE GESTION CONTRACTUAL</v>
      </c>
      <c r="V73" s="185" t="str">
        <f t="shared" si="20"/>
        <v>CO-DC</v>
      </c>
      <c r="W73" s="198" t="str">
        <f t="shared" si="21"/>
        <v>Distrito Capital de Bogotá</v>
      </c>
      <c r="X73" s="199" t="s">
        <v>979</v>
      </c>
      <c r="Y73" s="185">
        <v>2427400</v>
      </c>
      <c r="Z73" s="125" t="s">
        <v>980</v>
      </c>
    </row>
    <row r="74" spans="1:26" s="7" customFormat="1" ht="12.75" customHeight="1" x14ac:dyDescent="0.25">
      <c r="A74" s="184" t="s">
        <v>170</v>
      </c>
      <c r="B74" s="185">
        <v>20</v>
      </c>
      <c r="C74" s="186" t="s">
        <v>234</v>
      </c>
      <c r="D74" s="186" t="s">
        <v>173</v>
      </c>
      <c r="E74" s="187"/>
      <c r="F74" s="187">
        <v>180000000</v>
      </c>
      <c r="G74" s="187"/>
      <c r="H74" s="246" t="s">
        <v>1026</v>
      </c>
      <c r="I74" s="205" t="s">
        <v>1018</v>
      </c>
      <c r="J74" s="190">
        <v>8</v>
      </c>
      <c r="K74" s="191" t="s">
        <v>826</v>
      </c>
      <c r="L74" s="192">
        <v>4</v>
      </c>
      <c r="M74" s="185">
        <f t="shared" si="16"/>
        <v>1</v>
      </c>
      <c r="N74" s="193" t="s">
        <v>36</v>
      </c>
      <c r="O74" s="194" t="s">
        <v>256</v>
      </c>
      <c r="P74" s="195">
        <f t="shared" si="17"/>
        <v>1</v>
      </c>
      <c r="Q74" s="196">
        <f t="shared" si="24"/>
        <v>180000000</v>
      </c>
      <c r="R74" s="196">
        <f t="shared" si="25"/>
        <v>180000000</v>
      </c>
      <c r="S74" s="197" t="s">
        <v>217</v>
      </c>
      <c r="T74" s="193">
        <f t="shared" si="18"/>
        <v>0</v>
      </c>
      <c r="U74" s="198" t="str">
        <f t="shared" si="19"/>
        <v>SUBDIRECCION DE GESTION CONTRACTUAL</v>
      </c>
      <c r="V74" s="185" t="str">
        <f t="shared" si="20"/>
        <v>CO-DC</v>
      </c>
      <c r="W74" s="198" t="str">
        <f t="shared" si="21"/>
        <v>Distrito Capital de Bogotá</v>
      </c>
      <c r="X74" s="199" t="s">
        <v>979</v>
      </c>
      <c r="Y74" s="185">
        <v>2427400</v>
      </c>
      <c r="Z74" s="125" t="s">
        <v>980</v>
      </c>
    </row>
    <row r="75" spans="1:26" s="7" customFormat="1" ht="12.75" customHeight="1" x14ac:dyDescent="0.25">
      <c r="A75" s="184" t="s">
        <v>170</v>
      </c>
      <c r="B75" s="185">
        <v>21</v>
      </c>
      <c r="C75" s="186" t="s">
        <v>234</v>
      </c>
      <c r="D75" s="186" t="s">
        <v>173</v>
      </c>
      <c r="E75" s="187"/>
      <c r="F75" s="187">
        <f>250000000-250000000+400000000</f>
        <v>400000000</v>
      </c>
      <c r="G75" s="187"/>
      <c r="H75" s="188" t="s">
        <v>711</v>
      </c>
      <c r="I75" s="189" t="s">
        <v>241</v>
      </c>
      <c r="J75" s="190">
        <v>8</v>
      </c>
      <c r="K75" s="191" t="s">
        <v>826</v>
      </c>
      <c r="L75" s="192">
        <v>4</v>
      </c>
      <c r="M75" s="185">
        <f t="shared" si="16"/>
        <v>1</v>
      </c>
      <c r="N75" s="193" t="s">
        <v>36</v>
      </c>
      <c r="O75" s="194" t="s">
        <v>256</v>
      </c>
      <c r="P75" s="195">
        <f t="shared" si="17"/>
        <v>1</v>
      </c>
      <c r="Q75" s="196">
        <f t="shared" si="24"/>
        <v>400000000</v>
      </c>
      <c r="R75" s="196">
        <f t="shared" si="25"/>
        <v>400000000</v>
      </c>
      <c r="S75" s="197" t="s">
        <v>217</v>
      </c>
      <c r="T75" s="193">
        <f t="shared" si="18"/>
        <v>0</v>
      </c>
      <c r="U75" s="198" t="str">
        <f t="shared" si="19"/>
        <v>SUBDIRECCION DE GESTION CONTRACTUAL</v>
      </c>
      <c r="V75" s="185" t="str">
        <f t="shared" si="20"/>
        <v>CO-DC</v>
      </c>
      <c r="W75" s="198" t="str">
        <f t="shared" si="21"/>
        <v>Distrito Capital de Bogotá</v>
      </c>
      <c r="X75" s="199" t="s">
        <v>979</v>
      </c>
      <c r="Y75" s="185">
        <v>2427400</v>
      </c>
      <c r="Z75" s="125" t="s">
        <v>980</v>
      </c>
    </row>
    <row r="76" spans="1:26" s="7" customFormat="1" ht="12.75" customHeight="1" x14ac:dyDescent="0.25">
      <c r="A76" s="184" t="s">
        <v>170</v>
      </c>
      <c r="B76" s="185">
        <v>22</v>
      </c>
      <c r="C76" s="186" t="s">
        <v>242</v>
      </c>
      <c r="D76" s="186" t="s">
        <v>767</v>
      </c>
      <c r="E76" s="187"/>
      <c r="F76" s="187">
        <f>400000000-400000000</f>
        <v>0</v>
      </c>
      <c r="G76" s="187"/>
      <c r="H76" s="188" t="s">
        <v>711</v>
      </c>
      <c r="I76" s="189" t="s">
        <v>241</v>
      </c>
      <c r="J76" s="190">
        <v>6</v>
      </c>
      <c r="K76" s="191">
        <v>6</v>
      </c>
      <c r="L76" s="192">
        <v>5</v>
      </c>
      <c r="M76" s="185">
        <f t="shared" si="16"/>
        <v>1</v>
      </c>
      <c r="N76" s="193" t="s">
        <v>36</v>
      </c>
      <c r="O76" s="194" t="s">
        <v>256</v>
      </c>
      <c r="P76" s="195">
        <f t="shared" si="17"/>
        <v>1</v>
      </c>
      <c r="Q76" s="196">
        <f t="shared" si="24"/>
        <v>0</v>
      </c>
      <c r="R76" s="196">
        <f t="shared" si="25"/>
        <v>0</v>
      </c>
      <c r="S76" s="197" t="s">
        <v>217</v>
      </c>
      <c r="T76" s="193">
        <f t="shared" si="18"/>
        <v>0</v>
      </c>
      <c r="U76" s="198" t="str">
        <f t="shared" si="19"/>
        <v>SUBDIRECCION DE GESTION CONTRACTUAL</v>
      </c>
      <c r="V76" s="185" t="str">
        <f t="shared" si="20"/>
        <v>CO-DC</v>
      </c>
      <c r="W76" s="198" t="str">
        <f t="shared" si="21"/>
        <v>Distrito Capital de Bogotá</v>
      </c>
      <c r="X76" s="199" t="s">
        <v>979</v>
      </c>
      <c r="Y76" s="185">
        <v>2427400</v>
      </c>
      <c r="Z76" s="125" t="s">
        <v>980</v>
      </c>
    </row>
    <row r="77" spans="1:26" s="7" customFormat="1" ht="12.75" customHeight="1" x14ac:dyDescent="0.25">
      <c r="A77" s="184" t="s">
        <v>170</v>
      </c>
      <c r="B77" s="185">
        <v>23</v>
      </c>
      <c r="C77" s="186" t="s">
        <v>242</v>
      </c>
      <c r="D77" s="186" t="s">
        <v>767</v>
      </c>
      <c r="E77" s="187"/>
      <c r="F77" s="187">
        <v>500000000</v>
      </c>
      <c r="G77" s="187"/>
      <c r="H77" s="188" t="s">
        <v>915</v>
      </c>
      <c r="I77" s="189" t="s">
        <v>1015</v>
      </c>
      <c r="J77" s="190">
        <v>8</v>
      </c>
      <c r="K77" s="191" t="s">
        <v>826</v>
      </c>
      <c r="L77" s="192">
        <v>4</v>
      </c>
      <c r="M77" s="185">
        <f t="shared" ref="M77:M99" si="26">IF(ISBLANK(J77),"",1)</f>
        <v>1</v>
      </c>
      <c r="N77" s="193" t="s">
        <v>36</v>
      </c>
      <c r="O77" s="194" t="s">
        <v>256</v>
      </c>
      <c r="P77" s="195">
        <f t="shared" ref="P77:P98" si="27">IF(ISBLANK(N77),"",1)</f>
        <v>1</v>
      </c>
      <c r="Q77" s="196">
        <f t="shared" si="24"/>
        <v>500000000</v>
      </c>
      <c r="R77" s="196">
        <f t="shared" si="25"/>
        <v>500000000</v>
      </c>
      <c r="S77" s="197" t="s">
        <v>217</v>
      </c>
      <c r="T77" s="193">
        <f t="shared" ref="T77:T98" si="28">IF(ISBLANK(S77),"",IF(VALUE(S77)=0,0,IF(VALUE(S77)=1,3,"")))</f>
        <v>0</v>
      </c>
      <c r="U77" s="198" t="str">
        <f t="shared" ref="U77:U108" si="29">IF(ISBLANK(N77),"","SUBDIRECCION DE GESTION CONTRACTUAL")</f>
        <v>SUBDIRECCION DE GESTION CONTRACTUAL</v>
      </c>
      <c r="V77" s="185" t="str">
        <f t="shared" ref="V77:V98" si="30">IF(ISBLANK(N77),"","CO-DC")</f>
        <v>CO-DC</v>
      </c>
      <c r="W77" s="198" t="str">
        <f t="shared" ref="W77:W98" si="31">IF(ISBLANK(N77),"","Distrito Capital de Bogotá")</f>
        <v>Distrito Capital de Bogotá</v>
      </c>
      <c r="X77" s="199" t="s">
        <v>979</v>
      </c>
      <c r="Y77" s="185">
        <v>2427400</v>
      </c>
      <c r="Z77" s="125" t="s">
        <v>980</v>
      </c>
    </row>
    <row r="78" spans="1:26" s="7" customFormat="1" ht="12.75" customHeight="1" x14ac:dyDescent="0.25">
      <c r="A78" s="184" t="s">
        <v>170</v>
      </c>
      <c r="B78" s="185">
        <v>24</v>
      </c>
      <c r="C78" s="186" t="s">
        <v>242</v>
      </c>
      <c r="D78" s="186" t="s">
        <v>767</v>
      </c>
      <c r="E78" s="187"/>
      <c r="F78" s="187">
        <f>21615000000+10000000000-280000000</f>
        <v>31335000000</v>
      </c>
      <c r="G78" s="187"/>
      <c r="H78" s="188" t="s">
        <v>847</v>
      </c>
      <c r="I78" s="189" t="s">
        <v>918</v>
      </c>
      <c r="J78" s="190">
        <v>5</v>
      </c>
      <c r="K78" s="191">
        <v>5</v>
      </c>
      <c r="L78" s="192">
        <v>6</v>
      </c>
      <c r="M78" s="185">
        <f t="shared" si="26"/>
        <v>1</v>
      </c>
      <c r="N78" s="193" t="s">
        <v>36</v>
      </c>
      <c r="O78" s="194" t="s">
        <v>256</v>
      </c>
      <c r="P78" s="195">
        <f t="shared" si="27"/>
        <v>1</v>
      </c>
      <c r="Q78" s="196">
        <f t="shared" si="24"/>
        <v>31335000000</v>
      </c>
      <c r="R78" s="196">
        <f t="shared" si="25"/>
        <v>31335000000</v>
      </c>
      <c r="S78" s="197" t="s">
        <v>217</v>
      </c>
      <c r="T78" s="193">
        <f t="shared" si="28"/>
        <v>0</v>
      </c>
      <c r="U78" s="198" t="str">
        <f t="shared" si="29"/>
        <v>SUBDIRECCION DE GESTION CONTRACTUAL</v>
      </c>
      <c r="V78" s="185" t="str">
        <f t="shared" si="30"/>
        <v>CO-DC</v>
      </c>
      <c r="W78" s="198" t="str">
        <f t="shared" si="31"/>
        <v>Distrito Capital de Bogotá</v>
      </c>
      <c r="X78" s="199" t="s">
        <v>979</v>
      </c>
      <c r="Y78" s="185">
        <v>2427400</v>
      </c>
      <c r="Z78" s="125" t="s">
        <v>980</v>
      </c>
    </row>
    <row r="79" spans="1:26" s="7" customFormat="1" ht="12.75" customHeight="1" x14ac:dyDescent="0.25">
      <c r="A79" s="184" t="s">
        <v>170</v>
      </c>
      <c r="B79" s="185">
        <v>25</v>
      </c>
      <c r="C79" s="186" t="s">
        <v>242</v>
      </c>
      <c r="D79" s="186" t="s">
        <v>767</v>
      </c>
      <c r="E79" s="187"/>
      <c r="F79" s="187">
        <f>3615000000-1995000000</f>
        <v>1620000000</v>
      </c>
      <c r="G79" s="187"/>
      <c r="H79" s="188">
        <v>80111608</v>
      </c>
      <c r="I79" s="189" t="s">
        <v>243</v>
      </c>
      <c r="J79" s="190">
        <v>6</v>
      </c>
      <c r="K79" s="190">
        <v>6</v>
      </c>
      <c r="L79" s="192">
        <v>5</v>
      </c>
      <c r="M79" s="185">
        <f t="shared" si="26"/>
        <v>1</v>
      </c>
      <c r="N79" s="193" t="s">
        <v>36</v>
      </c>
      <c r="O79" s="194" t="s">
        <v>256</v>
      </c>
      <c r="P79" s="195">
        <f t="shared" si="27"/>
        <v>1</v>
      </c>
      <c r="Q79" s="196">
        <f t="shared" si="24"/>
        <v>1620000000</v>
      </c>
      <c r="R79" s="196">
        <f t="shared" si="25"/>
        <v>1620000000</v>
      </c>
      <c r="S79" s="197" t="s">
        <v>217</v>
      </c>
      <c r="T79" s="193">
        <f t="shared" si="28"/>
        <v>0</v>
      </c>
      <c r="U79" s="198" t="str">
        <f t="shared" si="29"/>
        <v>SUBDIRECCION DE GESTION CONTRACTUAL</v>
      </c>
      <c r="V79" s="185" t="str">
        <f t="shared" si="30"/>
        <v>CO-DC</v>
      </c>
      <c r="W79" s="198" t="str">
        <f t="shared" si="31"/>
        <v>Distrito Capital de Bogotá</v>
      </c>
      <c r="X79" s="199" t="s">
        <v>979</v>
      </c>
      <c r="Y79" s="185">
        <v>2427400</v>
      </c>
      <c r="Z79" s="125" t="s">
        <v>980</v>
      </c>
    </row>
    <row r="80" spans="1:26" s="7" customFormat="1" ht="12.75" customHeight="1" x14ac:dyDescent="0.25">
      <c r="A80" s="184" t="s">
        <v>170</v>
      </c>
      <c r="B80" s="185">
        <v>26</v>
      </c>
      <c r="C80" s="186" t="s">
        <v>242</v>
      </c>
      <c r="D80" s="186" t="s">
        <v>767</v>
      </c>
      <c r="E80" s="187"/>
      <c r="F80" s="187">
        <v>200000000</v>
      </c>
      <c r="G80" s="187"/>
      <c r="H80" s="246" t="s">
        <v>1025</v>
      </c>
      <c r="I80" s="189" t="s">
        <v>1016</v>
      </c>
      <c r="J80" s="190">
        <v>8</v>
      </c>
      <c r="K80" s="191" t="s">
        <v>826</v>
      </c>
      <c r="L80" s="192">
        <v>4</v>
      </c>
      <c r="M80" s="185">
        <f t="shared" si="26"/>
        <v>1</v>
      </c>
      <c r="N80" s="193" t="s">
        <v>36</v>
      </c>
      <c r="O80" s="194" t="s">
        <v>256</v>
      </c>
      <c r="P80" s="195">
        <f t="shared" si="27"/>
        <v>1</v>
      </c>
      <c r="Q80" s="196">
        <f t="shared" si="24"/>
        <v>200000000</v>
      </c>
      <c r="R80" s="196">
        <f t="shared" si="25"/>
        <v>200000000</v>
      </c>
      <c r="S80" s="197" t="s">
        <v>217</v>
      </c>
      <c r="T80" s="193">
        <f t="shared" si="28"/>
        <v>0</v>
      </c>
      <c r="U80" s="198" t="str">
        <f t="shared" si="29"/>
        <v>SUBDIRECCION DE GESTION CONTRACTUAL</v>
      </c>
      <c r="V80" s="185" t="str">
        <f t="shared" si="30"/>
        <v>CO-DC</v>
      </c>
      <c r="W80" s="198" t="str">
        <f t="shared" si="31"/>
        <v>Distrito Capital de Bogotá</v>
      </c>
      <c r="X80" s="199" t="s">
        <v>979</v>
      </c>
      <c r="Y80" s="185">
        <v>2427400</v>
      </c>
      <c r="Z80" s="125" t="s">
        <v>980</v>
      </c>
    </row>
    <row r="81" spans="1:26" s="7" customFormat="1" ht="12.75" customHeight="1" x14ac:dyDescent="0.25">
      <c r="A81" s="184" t="s">
        <v>170</v>
      </c>
      <c r="B81" s="185">
        <v>27</v>
      </c>
      <c r="C81" s="186" t="s">
        <v>237</v>
      </c>
      <c r="D81" s="186" t="s">
        <v>767</v>
      </c>
      <c r="E81" s="187"/>
      <c r="F81" s="187">
        <f>300000000-300000000</f>
        <v>0</v>
      </c>
      <c r="G81" s="187"/>
      <c r="H81" s="188" t="s">
        <v>711</v>
      </c>
      <c r="I81" s="189" t="s">
        <v>238</v>
      </c>
      <c r="J81" s="190">
        <v>5</v>
      </c>
      <c r="K81" s="191">
        <v>5</v>
      </c>
      <c r="L81" s="192">
        <v>6</v>
      </c>
      <c r="M81" s="185">
        <f t="shared" si="26"/>
        <v>1</v>
      </c>
      <c r="N81" s="193" t="s">
        <v>36</v>
      </c>
      <c r="O81" s="194" t="s">
        <v>256</v>
      </c>
      <c r="P81" s="195">
        <f t="shared" si="27"/>
        <v>1</v>
      </c>
      <c r="Q81" s="196">
        <f t="shared" si="24"/>
        <v>0</v>
      </c>
      <c r="R81" s="196">
        <f t="shared" si="25"/>
        <v>0</v>
      </c>
      <c r="S81" s="197" t="s">
        <v>217</v>
      </c>
      <c r="T81" s="193">
        <f t="shared" si="28"/>
        <v>0</v>
      </c>
      <c r="U81" s="198" t="str">
        <f t="shared" si="29"/>
        <v>SUBDIRECCION DE GESTION CONTRACTUAL</v>
      </c>
      <c r="V81" s="185" t="str">
        <f t="shared" si="30"/>
        <v>CO-DC</v>
      </c>
      <c r="W81" s="198" t="str">
        <f t="shared" si="31"/>
        <v>Distrito Capital de Bogotá</v>
      </c>
      <c r="X81" s="199" t="s">
        <v>979</v>
      </c>
      <c r="Y81" s="185">
        <v>2427400</v>
      </c>
      <c r="Z81" s="125" t="s">
        <v>980</v>
      </c>
    </row>
    <row r="82" spans="1:26" s="7" customFormat="1" ht="12.75" customHeight="1" x14ac:dyDescent="0.25">
      <c r="A82" s="184" t="s">
        <v>170</v>
      </c>
      <c r="B82" s="185">
        <v>28</v>
      </c>
      <c r="C82" s="186" t="s">
        <v>242</v>
      </c>
      <c r="D82" s="186" t="s">
        <v>767</v>
      </c>
      <c r="E82" s="187"/>
      <c r="F82" s="187">
        <f>2000000000-2000000000+4000000000</f>
        <v>4000000000</v>
      </c>
      <c r="G82" s="187"/>
      <c r="H82" s="188" t="s">
        <v>916</v>
      </c>
      <c r="I82" s="189" t="s">
        <v>894</v>
      </c>
      <c r="J82" s="190">
        <v>8</v>
      </c>
      <c r="K82" s="191" t="s">
        <v>826</v>
      </c>
      <c r="L82" s="192">
        <v>4</v>
      </c>
      <c r="M82" s="185">
        <f t="shared" si="26"/>
        <v>1</v>
      </c>
      <c r="N82" s="193" t="s">
        <v>36</v>
      </c>
      <c r="O82" s="194" t="s">
        <v>256</v>
      </c>
      <c r="P82" s="195">
        <f t="shared" si="27"/>
        <v>1</v>
      </c>
      <c r="Q82" s="196">
        <f t="shared" si="24"/>
        <v>4000000000</v>
      </c>
      <c r="R82" s="196">
        <f t="shared" si="25"/>
        <v>4000000000</v>
      </c>
      <c r="S82" s="197" t="s">
        <v>217</v>
      </c>
      <c r="T82" s="193">
        <f t="shared" si="28"/>
        <v>0</v>
      </c>
      <c r="U82" s="198" t="str">
        <f t="shared" si="29"/>
        <v>SUBDIRECCION DE GESTION CONTRACTUAL</v>
      </c>
      <c r="V82" s="185" t="str">
        <f t="shared" si="30"/>
        <v>CO-DC</v>
      </c>
      <c r="W82" s="198" t="str">
        <f t="shared" si="31"/>
        <v>Distrito Capital de Bogotá</v>
      </c>
      <c r="X82" s="199" t="s">
        <v>979</v>
      </c>
      <c r="Y82" s="185">
        <v>2427400</v>
      </c>
      <c r="Z82" s="125" t="s">
        <v>980</v>
      </c>
    </row>
    <row r="83" spans="1:26" s="7" customFormat="1" ht="12.75" customHeight="1" x14ac:dyDescent="0.25">
      <c r="A83" s="184" t="s">
        <v>170</v>
      </c>
      <c r="B83" s="185">
        <v>29</v>
      </c>
      <c r="C83" s="186" t="s">
        <v>242</v>
      </c>
      <c r="D83" s="186" t="s">
        <v>767</v>
      </c>
      <c r="E83" s="187"/>
      <c r="F83" s="187">
        <v>3050000000</v>
      </c>
      <c r="G83" s="187"/>
      <c r="H83" s="188" t="s">
        <v>710</v>
      </c>
      <c r="I83" s="189" t="s">
        <v>236</v>
      </c>
      <c r="J83" s="190">
        <v>2</v>
      </c>
      <c r="K83" s="191">
        <v>3</v>
      </c>
      <c r="L83" s="192">
        <v>9</v>
      </c>
      <c r="M83" s="185">
        <f t="shared" si="26"/>
        <v>1</v>
      </c>
      <c r="N83" s="193" t="s">
        <v>221</v>
      </c>
      <c r="O83" s="194" t="s">
        <v>903</v>
      </c>
      <c r="P83" s="195">
        <f t="shared" si="27"/>
        <v>1</v>
      </c>
      <c r="Q83" s="196">
        <f t="shared" si="24"/>
        <v>3050000000</v>
      </c>
      <c r="R83" s="196">
        <f t="shared" si="25"/>
        <v>3050000000</v>
      </c>
      <c r="S83" s="197" t="s">
        <v>217</v>
      </c>
      <c r="T83" s="193">
        <f t="shared" si="28"/>
        <v>0</v>
      </c>
      <c r="U83" s="198" t="str">
        <f t="shared" si="29"/>
        <v>SUBDIRECCION DE GESTION CONTRACTUAL</v>
      </c>
      <c r="V83" s="185" t="str">
        <f t="shared" si="30"/>
        <v>CO-DC</v>
      </c>
      <c r="W83" s="198" t="str">
        <f t="shared" si="31"/>
        <v>Distrito Capital de Bogotá</v>
      </c>
      <c r="X83" s="199" t="s">
        <v>979</v>
      </c>
      <c r="Y83" s="185">
        <v>2427400</v>
      </c>
      <c r="Z83" s="125" t="s">
        <v>980</v>
      </c>
    </row>
    <row r="84" spans="1:26" s="7" customFormat="1" ht="12.75" customHeight="1" x14ac:dyDescent="0.25">
      <c r="A84" s="184" t="s">
        <v>170</v>
      </c>
      <c r="B84" s="185">
        <v>30</v>
      </c>
      <c r="C84" s="186" t="s">
        <v>242</v>
      </c>
      <c r="D84" s="186" t="s">
        <v>767</v>
      </c>
      <c r="E84" s="187"/>
      <c r="F84" s="187">
        <f>300000000+700000000</f>
        <v>1000000000</v>
      </c>
      <c r="G84" s="187"/>
      <c r="H84" s="188" t="s">
        <v>711</v>
      </c>
      <c r="I84" s="189" t="s">
        <v>244</v>
      </c>
      <c r="J84" s="190">
        <v>6</v>
      </c>
      <c r="K84" s="190">
        <v>6</v>
      </c>
      <c r="L84" s="192">
        <v>5</v>
      </c>
      <c r="M84" s="185">
        <f t="shared" si="26"/>
        <v>1</v>
      </c>
      <c r="N84" s="193" t="s">
        <v>36</v>
      </c>
      <c r="O84" s="194" t="s">
        <v>256</v>
      </c>
      <c r="P84" s="195">
        <f t="shared" si="27"/>
        <v>1</v>
      </c>
      <c r="Q84" s="196">
        <f t="shared" si="24"/>
        <v>1000000000</v>
      </c>
      <c r="R84" s="196">
        <f t="shared" si="25"/>
        <v>1000000000</v>
      </c>
      <c r="S84" s="197" t="s">
        <v>217</v>
      </c>
      <c r="T84" s="193">
        <f t="shared" si="28"/>
        <v>0</v>
      </c>
      <c r="U84" s="198" t="str">
        <f t="shared" si="29"/>
        <v>SUBDIRECCION DE GESTION CONTRACTUAL</v>
      </c>
      <c r="V84" s="185" t="str">
        <f t="shared" si="30"/>
        <v>CO-DC</v>
      </c>
      <c r="W84" s="198" t="str">
        <f t="shared" si="31"/>
        <v>Distrito Capital de Bogotá</v>
      </c>
      <c r="X84" s="199" t="s">
        <v>979</v>
      </c>
      <c r="Y84" s="185">
        <v>2427400</v>
      </c>
      <c r="Z84" s="125" t="s">
        <v>980</v>
      </c>
    </row>
    <row r="85" spans="1:26" s="7" customFormat="1" ht="12.75" customHeight="1" x14ac:dyDescent="0.25">
      <c r="A85" s="184" t="s">
        <v>170</v>
      </c>
      <c r="B85" s="185">
        <v>31</v>
      </c>
      <c r="C85" s="186" t="s">
        <v>242</v>
      </c>
      <c r="D85" s="186" t="s">
        <v>767</v>
      </c>
      <c r="E85" s="187"/>
      <c r="F85" s="187">
        <f>300000000+1400000000-700000000</f>
        <v>1000000000</v>
      </c>
      <c r="G85" s="187"/>
      <c r="H85" s="188" t="s">
        <v>915</v>
      </c>
      <c r="I85" s="189" t="s">
        <v>923</v>
      </c>
      <c r="J85" s="190">
        <v>6</v>
      </c>
      <c r="K85" s="190">
        <v>6</v>
      </c>
      <c r="L85" s="192">
        <v>5</v>
      </c>
      <c r="M85" s="185">
        <f t="shared" si="26"/>
        <v>1</v>
      </c>
      <c r="N85" s="193" t="s">
        <v>36</v>
      </c>
      <c r="O85" s="194" t="s">
        <v>256</v>
      </c>
      <c r="P85" s="195">
        <f t="shared" si="27"/>
        <v>1</v>
      </c>
      <c r="Q85" s="196">
        <f t="shared" ref="Q85:Q116" si="32">+E85+F85+G85</f>
        <v>1000000000</v>
      </c>
      <c r="R85" s="196">
        <f t="shared" ref="R85:R116" si="33">+F85</f>
        <v>1000000000</v>
      </c>
      <c r="S85" s="197" t="s">
        <v>217</v>
      </c>
      <c r="T85" s="193">
        <f t="shared" si="28"/>
        <v>0</v>
      </c>
      <c r="U85" s="198" t="str">
        <f t="shared" si="29"/>
        <v>SUBDIRECCION DE GESTION CONTRACTUAL</v>
      </c>
      <c r="V85" s="185" t="str">
        <f t="shared" si="30"/>
        <v>CO-DC</v>
      </c>
      <c r="W85" s="198" t="str">
        <f t="shared" si="31"/>
        <v>Distrito Capital de Bogotá</v>
      </c>
      <c r="X85" s="199" t="s">
        <v>979</v>
      </c>
      <c r="Y85" s="185">
        <v>2427400</v>
      </c>
      <c r="Z85" s="125" t="s">
        <v>980</v>
      </c>
    </row>
    <row r="86" spans="1:26" s="7" customFormat="1" ht="12.75" customHeight="1" x14ac:dyDescent="0.25">
      <c r="A86" s="184" t="s">
        <v>170</v>
      </c>
      <c r="B86" s="185">
        <v>32</v>
      </c>
      <c r="C86" s="186" t="s">
        <v>242</v>
      </c>
      <c r="D86" s="186" t="s">
        <v>767</v>
      </c>
      <c r="E86" s="187"/>
      <c r="F86" s="187">
        <f>300000000-300000000</f>
        <v>0</v>
      </c>
      <c r="G86" s="187"/>
      <c r="H86" s="188" t="s">
        <v>711</v>
      </c>
      <c r="I86" s="189" t="s">
        <v>245</v>
      </c>
      <c r="J86" s="190">
        <v>5</v>
      </c>
      <c r="K86" s="191">
        <v>5</v>
      </c>
      <c r="L86" s="192">
        <v>6</v>
      </c>
      <c r="M86" s="185">
        <f t="shared" si="26"/>
        <v>1</v>
      </c>
      <c r="N86" s="193" t="s">
        <v>36</v>
      </c>
      <c r="O86" s="194" t="s">
        <v>256</v>
      </c>
      <c r="P86" s="195">
        <f t="shared" si="27"/>
        <v>1</v>
      </c>
      <c r="Q86" s="196">
        <f t="shared" si="32"/>
        <v>0</v>
      </c>
      <c r="R86" s="196">
        <f t="shared" si="33"/>
        <v>0</v>
      </c>
      <c r="S86" s="197" t="s">
        <v>217</v>
      </c>
      <c r="T86" s="193">
        <f t="shared" si="28"/>
        <v>0</v>
      </c>
      <c r="U86" s="198" t="str">
        <f t="shared" si="29"/>
        <v>SUBDIRECCION DE GESTION CONTRACTUAL</v>
      </c>
      <c r="V86" s="185" t="str">
        <f t="shared" si="30"/>
        <v>CO-DC</v>
      </c>
      <c r="W86" s="198" t="str">
        <f t="shared" si="31"/>
        <v>Distrito Capital de Bogotá</v>
      </c>
      <c r="X86" s="199" t="s">
        <v>979</v>
      </c>
      <c r="Y86" s="185">
        <v>2427400</v>
      </c>
      <c r="Z86" s="125" t="s">
        <v>980</v>
      </c>
    </row>
    <row r="87" spans="1:26" s="7" customFormat="1" ht="12.75" customHeight="1" x14ac:dyDescent="0.25">
      <c r="A87" s="184" t="s">
        <v>170</v>
      </c>
      <c r="B87" s="185">
        <v>33</v>
      </c>
      <c r="C87" s="186" t="s">
        <v>246</v>
      </c>
      <c r="D87" s="186" t="s">
        <v>767</v>
      </c>
      <c r="E87" s="187"/>
      <c r="F87" s="187">
        <f>300000000-300000000</f>
        <v>0</v>
      </c>
      <c r="G87" s="187"/>
      <c r="H87" s="188" t="s">
        <v>711</v>
      </c>
      <c r="I87" s="189" t="s">
        <v>247</v>
      </c>
      <c r="J87" s="190">
        <v>4</v>
      </c>
      <c r="K87" s="190">
        <v>4</v>
      </c>
      <c r="L87" s="192">
        <v>7</v>
      </c>
      <c r="M87" s="185">
        <f t="shared" si="26"/>
        <v>1</v>
      </c>
      <c r="N87" s="193" t="s">
        <v>36</v>
      </c>
      <c r="O87" s="194" t="s">
        <v>256</v>
      </c>
      <c r="P87" s="195">
        <f t="shared" si="27"/>
        <v>1</v>
      </c>
      <c r="Q87" s="196">
        <f t="shared" si="32"/>
        <v>0</v>
      </c>
      <c r="R87" s="196">
        <f t="shared" si="33"/>
        <v>0</v>
      </c>
      <c r="S87" s="197" t="s">
        <v>217</v>
      </c>
      <c r="T87" s="193">
        <f t="shared" si="28"/>
        <v>0</v>
      </c>
      <c r="U87" s="198" t="str">
        <f t="shared" si="29"/>
        <v>SUBDIRECCION DE GESTION CONTRACTUAL</v>
      </c>
      <c r="V87" s="185" t="str">
        <f t="shared" si="30"/>
        <v>CO-DC</v>
      </c>
      <c r="W87" s="198" t="str">
        <f t="shared" si="31"/>
        <v>Distrito Capital de Bogotá</v>
      </c>
      <c r="X87" s="199" t="s">
        <v>979</v>
      </c>
      <c r="Y87" s="185">
        <v>2427400</v>
      </c>
      <c r="Z87" s="125" t="s">
        <v>980</v>
      </c>
    </row>
    <row r="88" spans="1:26" s="7" customFormat="1" ht="12.75" customHeight="1" x14ac:dyDescent="0.25">
      <c r="A88" s="184" t="s">
        <v>170</v>
      </c>
      <c r="B88" s="185">
        <v>34</v>
      </c>
      <c r="C88" s="186" t="s">
        <v>242</v>
      </c>
      <c r="D88" s="186" t="s">
        <v>767</v>
      </c>
      <c r="E88" s="187"/>
      <c r="F88" s="187">
        <f>240000000+175000000</f>
        <v>415000000</v>
      </c>
      <c r="G88" s="187"/>
      <c r="H88" s="188">
        <v>80111600</v>
      </c>
      <c r="I88" s="189" t="s">
        <v>235</v>
      </c>
      <c r="J88" s="190">
        <v>1</v>
      </c>
      <c r="K88" s="191">
        <v>1</v>
      </c>
      <c r="L88" s="192">
        <v>12</v>
      </c>
      <c r="M88" s="185">
        <f t="shared" si="26"/>
        <v>1</v>
      </c>
      <c r="N88" s="193" t="s">
        <v>210</v>
      </c>
      <c r="O88" s="194" t="s">
        <v>264</v>
      </c>
      <c r="P88" s="195">
        <f t="shared" si="27"/>
        <v>1</v>
      </c>
      <c r="Q88" s="196">
        <f t="shared" si="32"/>
        <v>415000000</v>
      </c>
      <c r="R88" s="196">
        <f t="shared" si="33"/>
        <v>415000000</v>
      </c>
      <c r="S88" s="197" t="s">
        <v>217</v>
      </c>
      <c r="T88" s="193">
        <f t="shared" si="28"/>
        <v>0</v>
      </c>
      <c r="U88" s="198" t="str">
        <f t="shared" si="29"/>
        <v>SUBDIRECCION DE GESTION CONTRACTUAL</v>
      </c>
      <c r="V88" s="185" t="str">
        <f t="shared" si="30"/>
        <v>CO-DC</v>
      </c>
      <c r="W88" s="198" t="str">
        <f t="shared" si="31"/>
        <v>Distrito Capital de Bogotá</v>
      </c>
      <c r="X88" s="199" t="s">
        <v>979</v>
      </c>
      <c r="Y88" s="185">
        <v>2427400</v>
      </c>
      <c r="Z88" s="125" t="s">
        <v>980</v>
      </c>
    </row>
    <row r="89" spans="1:26" s="7" customFormat="1" ht="12.75" customHeight="1" x14ac:dyDescent="0.25">
      <c r="A89" s="184" t="s">
        <v>170</v>
      </c>
      <c r="B89" s="185">
        <v>35</v>
      </c>
      <c r="C89" s="186" t="s">
        <v>242</v>
      </c>
      <c r="D89" s="186" t="s">
        <v>767</v>
      </c>
      <c r="E89" s="187"/>
      <c r="F89" s="187">
        <v>880000000</v>
      </c>
      <c r="G89" s="187"/>
      <c r="H89" s="188">
        <v>80111600</v>
      </c>
      <c r="I89" s="189" t="s">
        <v>235</v>
      </c>
      <c r="J89" s="190">
        <v>1</v>
      </c>
      <c r="K89" s="191">
        <v>1</v>
      </c>
      <c r="L89" s="192">
        <v>12</v>
      </c>
      <c r="M89" s="185">
        <f t="shared" si="26"/>
        <v>1</v>
      </c>
      <c r="N89" s="193" t="s">
        <v>210</v>
      </c>
      <c r="O89" s="194" t="s">
        <v>264</v>
      </c>
      <c r="P89" s="195">
        <f t="shared" si="27"/>
        <v>1</v>
      </c>
      <c r="Q89" s="196">
        <f t="shared" si="32"/>
        <v>880000000</v>
      </c>
      <c r="R89" s="196">
        <f t="shared" si="33"/>
        <v>880000000</v>
      </c>
      <c r="S89" s="197" t="s">
        <v>217</v>
      </c>
      <c r="T89" s="193">
        <f t="shared" si="28"/>
        <v>0</v>
      </c>
      <c r="U89" s="198" t="str">
        <f t="shared" si="29"/>
        <v>SUBDIRECCION DE GESTION CONTRACTUAL</v>
      </c>
      <c r="V89" s="185" t="str">
        <f t="shared" si="30"/>
        <v>CO-DC</v>
      </c>
      <c r="W89" s="198" t="str">
        <f t="shared" si="31"/>
        <v>Distrito Capital de Bogotá</v>
      </c>
      <c r="X89" s="199" t="s">
        <v>979</v>
      </c>
      <c r="Y89" s="185">
        <v>2427400</v>
      </c>
      <c r="Z89" s="125" t="s">
        <v>980</v>
      </c>
    </row>
    <row r="90" spans="1:26" s="7" customFormat="1" ht="12.75" customHeight="1" x14ac:dyDescent="0.25">
      <c r="A90" s="184" t="s">
        <v>170</v>
      </c>
      <c r="B90" s="185">
        <v>36</v>
      </c>
      <c r="C90" s="186" t="s">
        <v>246</v>
      </c>
      <c r="D90" s="186" t="s">
        <v>173</v>
      </c>
      <c r="E90" s="187"/>
      <c r="F90" s="187">
        <f>3781000000-500000000-400000000</f>
        <v>2881000000</v>
      </c>
      <c r="G90" s="187"/>
      <c r="H90" s="188" t="s">
        <v>710</v>
      </c>
      <c r="I90" s="189" t="s">
        <v>236</v>
      </c>
      <c r="J90" s="190">
        <v>2</v>
      </c>
      <c r="K90" s="191">
        <v>3</v>
      </c>
      <c r="L90" s="192">
        <v>9</v>
      </c>
      <c r="M90" s="185">
        <f t="shared" si="26"/>
        <v>1</v>
      </c>
      <c r="N90" s="193" t="s">
        <v>221</v>
      </c>
      <c r="O90" s="194" t="s">
        <v>903</v>
      </c>
      <c r="P90" s="195">
        <f t="shared" si="27"/>
        <v>1</v>
      </c>
      <c r="Q90" s="196">
        <f t="shared" si="32"/>
        <v>2881000000</v>
      </c>
      <c r="R90" s="196">
        <f t="shared" si="33"/>
        <v>2881000000</v>
      </c>
      <c r="S90" s="197" t="s">
        <v>217</v>
      </c>
      <c r="T90" s="193">
        <f t="shared" si="28"/>
        <v>0</v>
      </c>
      <c r="U90" s="198" t="str">
        <f t="shared" si="29"/>
        <v>SUBDIRECCION DE GESTION CONTRACTUAL</v>
      </c>
      <c r="V90" s="185" t="str">
        <f t="shared" si="30"/>
        <v>CO-DC</v>
      </c>
      <c r="W90" s="198" t="str">
        <f t="shared" si="31"/>
        <v>Distrito Capital de Bogotá</v>
      </c>
      <c r="X90" s="199" t="s">
        <v>979</v>
      </c>
      <c r="Y90" s="185">
        <v>2427400</v>
      </c>
      <c r="Z90" s="125" t="s">
        <v>980</v>
      </c>
    </row>
    <row r="91" spans="1:26" s="7" customFormat="1" ht="12.75" customHeight="1" x14ac:dyDescent="0.25">
      <c r="A91" s="184" t="s">
        <v>170</v>
      </c>
      <c r="B91" s="185">
        <v>37</v>
      </c>
      <c r="C91" s="186" t="s">
        <v>246</v>
      </c>
      <c r="D91" s="186" t="s">
        <v>173</v>
      </c>
      <c r="E91" s="187"/>
      <c r="F91" s="187">
        <v>350000000</v>
      </c>
      <c r="G91" s="187"/>
      <c r="H91" s="188" t="s">
        <v>101</v>
      </c>
      <c r="I91" s="189" t="s">
        <v>548</v>
      </c>
      <c r="J91" s="190">
        <v>2</v>
      </c>
      <c r="K91" s="191">
        <v>3</v>
      </c>
      <c r="L91" s="192">
        <v>10</v>
      </c>
      <c r="M91" s="185">
        <f t="shared" si="26"/>
        <v>1</v>
      </c>
      <c r="N91" s="193" t="s">
        <v>36</v>
      </c>
      <c r="O91" s="194" t="s">
        <v>256</v>
      </c>
      <c r="P91" s="195">
        <f t="shared" si="27"/>
        <v>1</v>
      </c>
      <c r="Q91" s="196">
        <f t="shared" si="32"/>
        <v>350000000</v>
      </c>
      <c r="R91" s="196">
        <f t="shared" si="33"/>
        <v>350000000</v>
      </c>
      <c r="S91" s="197" t="s">
        <v>217</v>
      </c>
      <c r="T91" s="193">
        <f t="shared" si="28"/>
        <v>0</v>
      </c>
      <c r="U91" s="198" t="str">
        <f t="shared" si="29"/>
        <v>SUBDIRECCION DE GESTION CONTRACTUAL</v>
      </c>
      <c r="V91" s="185" t="str">
        <f t="shared" si="30"/>
        <v>CO-DC</v>
      </c>
      <c r="W91" s="198" t="str">
        <f t="shared" si="31"/>
        <v>Distrito Capital de Bogotá</v>
      </c>
      <c r="X91" s="199" t="s">
        <v>979</v>
      </c>
      <c r="Y91" s="185">
        <v>2427400</v>
      </c>
      <c r="Z91" s="125" t="s">
        <v>980</v>
      </c>
    </row>
    <row r="92" spans="1:26" s="7" customFormat="1" ht="12.75" customHeight="1" x14ac:dyDescent="0.2">
      <c r="A92" s="184" t="s">
        <v>170</v>
      </c>
      <c r="B92" s="185">
        <v>38</v>
      </c>
      <c r="C92" s="186" t="s">
        <v>246</v>
      </c>
      <c r="D92" s="186" t="s">
        <v>173</v>
      </c>
      <c r="E92" s="187"/>
      <c r="F92" s="187">
        <v>15000000</v>
      </c>
      <c r="G92" s="187"/>
      <c r="H92" s="188" t="s">
        <v>51</v>
      </c>
      <c r="I92" s="189" t="s">
        <v>248</v>
      </c>
      <c r="J92" s="190">
        <v>4</v>
      </c>
      <c r="K92" s="191">
        <v>6</v>
      </c>
      <c r="L92" s="192">
        <v>1</v>
      </c>
      <c r="M92" s="185">
        <f t="shared" si="26"/>
        <v>1</v>
      </c>
      <c r="N92" s="193" t="s">
        <v>43</v>
      </c>
      <c r="O92" s="194" t="s">
        <v>44</v>
      </c>
      <c r="P92" s="195">
        <f t="shared" si="27"/>
        <v>1</v>
      </c>
      <c r="Q92" s="196">
        <f t="shared" si="32"/>
        <v>15000000</v>
      </c>
      <c r="R92" s="196">
        <f t="shared" si="33"/>
        <v>15000000</v>
      </c>
      <c r="S92" s="197" t="s">
        <v>217</v>
      </c>
      <c r="T92" s="193">
        <f t="shared" si="28"/>
        <v>0</v>
      </c>
      <c r="U92" s="198" t="str">
        <f t="shared" si="29"/>
        <v>SUBDIRECCION DE GESTION CONTRACTUAL</v>
      </c>
      <c r="V92" s="185" t="str">
        <f t="shared" si="30"/>
        <v>CO-DC</v>
      </c>
      <c r="W92" s="198" t="str">
        <f t="shared" si="31"/>
        <v>Distrito Capital de Bogotá</v>
      </c>
      <c r="X92" s="199" t="s">
        <v>73</v>
      </c>
      <c r="Y92" s="185">
        <v>2427400</v>
      </c>
      <c r="Z92" s="200" t="s">
        <v>74</v>
      </c>
    </row>
    <row r="93" spans="1:26" s="7" customFormat="1" ht="12.75" customHeight="1" x14ac:dyDescent="0.2">
      <c r="A93" s="184" t="s">
        <v>170</v>
      </c>
      <c r="B93" s="185">
        <v>39</v>
      </c>
      <c r="C93" s="186" t="s">
        <v>246</v>
      </c>
      <c r="D93" s="186" t="s">
        <v>173</v>
      </c>
      <c r="E93" s="187"/>
      <c r="F93" s="187">
        <v>300000000</v>
      </c>
      <c r="G93" s="187"/>
      <c r="H93" s="188" t="s">
        <v>225</v>
      </c>
      <c r="I93" s="189" t="s">
        <v>249</v>
      </c>
      <c r="J93" s="190">
        <v>7</v>
      </c>
      <c r="K93" s="190">
        <v>9</v>
      </c>
      <c r="L93" s="192">
        <v>3</v>
      </c>
      <c r="M93" s="185">
        <f t="shared" si="26"/>
        <v>1</v>
      </c>
      <c r="N93" s="239" t="s">
        <v>61</v>
      </c>
      <c r="O93" s="194" t="s">
        <v>902</v>
      </c>
      <c r="P93" s="195">
        <f t="shared" si="27"/>
        <v>1</v>
      </c>
      <c r="Q93" s="196">
        <f t="shared" si="32"/>
        <v>300000000</v>
      </c>
      <c r="R93" s="196">
        <f t="shared" si="33"/>
        <v>300000000</v>
      </c>
      <c r="S93" s="197" t="s">
        <v>217</v>
      </c>
      <c r="T93" s="193">
        <f t="shared" si="28"/>
        <v>0</v>
      </c>
      <c r="U93" s="198" t="str">
        <f t="shared" si="29"/>
        <v>SUBDIRECCION DE GESTION CONTRACTUAL</v>
      </c>
      <c r="V93" s="185" t="str">
        <f t="shared" si="30"/>
        <v>CO-DC</v>
      </c>
      <c r="W93" s="198" t="str">
        <f t="shared" si="31"/>
        <v>Distrito Capital de Bogotá</v>
      </c>
      <c r="X93" s="247" t="s">
        <v>974</v>
      </c>
      <c r="Y93" s="185">
        <v>2427400</v>
      </c>
      <c r="Z93" s="248" t="s">
        <v>885</v>
      </c>
    </row>
    <row r="94" spans="1:26" s="7" customFormat="1" ht="12.75" customHeight="1" x14ac:dyDescent="0.2">
      <c r="A94" s="184" t="s">
        <v>170</v>
      </c>
      <c r="B94" s="185">
        <v>40</v>
      </c>
      <c r="C94" s="186" t="s">
        <v>246</v>
      </c>
      <c r="D94" s="186" t="s">
        <v>173</v>
      </c>
      <c r="E94" s="187"/>
      <c r="F94" s="187">
        <v>600000000</v>
      </c>
      <c r="G94" s="187"/>
      <c r="H94" s="188" t="s">
        <v>42</v>
      </c>
      <c r="I94" s="189" t="s">
        <v>250</v>
      </c>
      <c r="J94" s="190">
        <v>3</v>
      </c>
      <c r="K94" s="191">
        <v>4</v>
      </c>
      <c r="L94" s="192">
        <v>9</v>
      </c>
      <c r="M94" s="185">
        <f t="shared" si="26"/>
        <v>1</v>
      </c>
      <c r="N94" s="193" t="s">
        <v>61</v>
      </c>
      <c r="O94" s="194" t="s">
        <v>902</v>
      </c>
      <c r="P94" s="195">
        <f t="shared" si="27"/>
        <v>1</v>
      </c>
      <c r="Q94" s="196">
        <f t="shared" si="32"/>
        <v>600000000</v>
      </c>
      <c r="R94" s="196">
        <f t="shared" si="33"/>
        <v>600000000</v>
      </c>
      <c r="S94" s="197" t="s">
        <v>217</v>
      </c>
      <c r="T94" s="193">
        <f t="shared" si="28"/>
        <v>0</v>
      </c>
      <c r="U94" s="198" t="str">
        <f t="shared" si="29"/>
        <v>SUBDIRECCION DE GESTION CONTRACTUAL</v>
      </c>
      <c r="V94" s="185" t="str">
        <f t="shared" si="30"/>
        <v>CO-DC</v>
      </c>
      <c r="W94" s="198" t="str">
        <f t="shared" si="31"/>
        <v>Distrito Capital de Bogotá</v>
      </c>
      <c r="X94" s="199" t="s">
        <v>321</v>
      </c>
      <c r="Y94" s="185">
        <v>2427400</v>
      </c>
      <c r="Z94" s="200" t="s">
        <v>75</v>
      </c>
    </row>
    <row r="95" spans="1:26" s="7" customFormat="1" ht="12.75" customHeight="1" x14ac:dyDescent="0.2">
      <c r="A95" s="184" t="s">
        <v>170</v>
      </c>
      <c r="B95" s="185">
        <v>41</v>
      </c>
      <c r="C95" s="186" t="s">
        <v>246</v>
      </c>
      <c r="D95" s="186" t="s">
        <v>173</v>
      </c>
      <c r="E95" s="187"/>
      <c r="F95" s="187">
        <v>20000000</v>
      </c>
      <c r="G95" s="187"/>
      <c r="H95" s="188" t="s">
        <v>251</v>
      </c>
      <c r="I95" s="189" t="s">
        <v>252</v>
      </c>
      <c r="J95" s="190">
        <v>5</v>
      </c>
      <c r="K95" s="191">
        <v>6</v>
      </c>
      <c r="L95" s="192">
        <v>1</v>
      </c>
      <c r="M95" s="185">
        <f t="shared" si="26"/>
        <v>1</v>
      </c>
      <c r="N95" s="193" t="s">
        <v>53</v>
      </c>
      <c r="O95" s="194" t="s">
        <v>54</v>
      </c>
      <c r="P95" s="195">
        <f t="shared" si="27"/>
        <v>1</v>
      </c>
      <c r="Q95" s="196">
        <f t="shared" si="32"/>
        <v>20000000</v>
      </c>
      <c r="R95" s="196">
        <f t="shared" si="33"/>
        <v>20000000</v>
      </c>
      <c r="S95" s="197" t="s">
        <v>217</v>
      </c>
      <c r="T95" s="193">
        <f t="shared" si="28"/>
        <v>0</v>
      </c>
      <c r="U95" s="198" t="str">
        <f t="shared" si="29"/>
        <v>SUBDIRECCION DE GESTION CONTRACTUAL</v>
      </c>
      <c r="V95" s="185" t="str">
        <f t="shared" si="30"/>
        <v>CO-DC</v>
      </c>
      <c r="W95" s="198" t="str">
        <f t="shared" si="31"/>
        <v>Distrito Capital de Bogotá</v>
      </c>
      <c r="X95" s="199" t="s">
        <v>76</v>
      </c>
      <c r="Y95" s="185">
        <v>2427400</v>
      </c>
      <c r="Z95" s="200" t="s">
        <v>253</v>
      </c>
    </row>
    <row r="96" spans="1:26" s="7" customFormat="1" ht="12.75" customHeight="1" x14ac:dyDescent="0.2">
      <c r="A96" s="184" t="s">
        <v>170</v>
      </c>
      <c r="B96" s="185">
        <v>42</v>
      </c>
      <c r="C96" s="186" t="s">
        <v>246</v>
      </c>
      <c r="D96" s="186" t="s">
        <v>173</v>
      </c>
      <c r="E96" s="187"/>
      <c r="F96" s="187">
        <v>300000000</v>
      </c>
      <c r="G96" s="187"/>
      <c r="H96" s="188" t="s">
        <v>565</v>
      </c>
      <c r="I96" s="189" t="s">
        <v>254</v>
      </c>
      <c r="J96" s="190">
        <v>8</v>
      </c>
      <c r="K96" s="191" t="s">
        <v>826</v>
      </c>
      <c r="L96" s="192">
        <v>4</v>
      </c>
      <c r="M96" s="185">
        <f t="shared" si="26"/>
        <v>1</v>
      </c>
      <c r="N96" s="193" t="s">
        <v>210</v>
      </c>
      <c r="O96" s="194" t="s">
        <v>256</v>
      </c>
      <c r="P96" s="195">
        <f t="shared" si="27"/>
        <v>1</v>
      </c>
      <c r="Q96" s="196">
        <f t="shared" si="32"/>
        <v>300000000</v>
      </c>
      <c r="R96" s="196">
        <f t="shared" si="33"/>
        <v>300000000</v>
      </c>
      <c r="S96" s="197" t="s">
        <v>217</v>
      </c>
      <c r="T96" s="193">
        <f t="shared" si="28"/>
        <v>0</v>
      </c>
      <c r="U96" s="198" t="str">
        <f t="shared" si="29"/>
        <v>SUBDIRECCION DE GESTION CONTRACTUAL</v>
      </c>
      <c r="V96" s="185" t="str">
        <f t="shared" si="30"/>
        <v>CO-DC</v>
      </c>
      <c r="W96" s="198" t="str">
        <f t="shared" si="31"/>
        <v>Distrito Capital de Bogotá</v>
      </c>
      <c r="X96" s="199" t="s">
        <v>964</v>
      </c>
      <c r="Y96" s="185">
        <v>2427400</v>
      </c>
      <c r="Z96" s="200" t="s">
        <v>965</v>
      </c>
    </row>
    <row r="97" spans="1:26" s="7" customFormat="1" ht="12.75" customHeight="1" x14ac:dyDescent="0.25">
      <c r="A97" s="184" t="s">
        <v>170</v>
      </c>
      <c r="B97" s="185">
        <v>43</v>
      </c>
      <c r="C97" s="186" t="s">
        <v>246</v>
      </c>
      <c r="D97" s="186" t="s">
        <v>173</v>
      </c>
      <c r="E97" s="187"/>
      <c r="F97" s="187">
        <f>2950000000-600000000+430000000</f>
        <v>2780000000</v>
      </c>
      <c r="G97" s="187"/>
      <c r="H97" s="188">
        <v>80111600</v>
      </c>
      <c r="I97" s="189" t="s">
        <v>235</v>
      </c>
      <c r="J97" s="190">
        <v>1</v>
      </c>
      <c r="K97" s="191">
        <v>1</v>
      </c>
      <c r="L97" s="192">
        <v>12</v>
      </c>
      <c r="M97" s="185">
        <f t="shared" si="26"/>
        <v>1</v>
      </c>
      <c r="N97" s="193" t="s">
        <v>210</v>
      </c>
      <c r="O97" s="194" t="s">
        <v>264</v>
      </c>
      <c r="P97" s="195">
        <f t="shared" si="27"/>
        <v>1</v>
      </c>
      <c r="Q97" s="196">
        <f t="shared" si="32"/>
        <v>2780000000</v>
      </c>
      <c r="R97" s="196">
        <f t="shared" si="33"/>
        <v>2780000000</v>
      </c>
      <c r="S97" s="197" t="s">
        <v>217</v>
      </c>
      <c r="T97" s="193">
        <f t="shared" si="28"/>
        <v>0</v>
      </c>
      <c r="U97" s="198" t="str">
        <f t="shared" si="29"/>
        <v>SUBDIRECCION DE GESTION CONTRACTUAL</v>
      </c>
      <c r="V97" s="185" t="str">
        <f t="shared" si="30"/>
        <v>CO-DC</v>
      </c>
      <c r="W97" s="198" t="str">
        <f t="shared" si="31"/>
        <v>Distrito Capital de Bogotá</v>
      </c>
      <c r="X97" s="199" t="s">
        <v>979</v>
      </c>
      <c r="Y97" s="185">
        <v>2427400</v>
      </c>
      <c r="Z97" s="125" t="s">
        <v>980</v>
      </c>
    </row>
    <row r="98" spans="1:26" s="7" customFormat="1" ht="12.75" customHeight="1" x14ac:dyDescent="0.25">
      <c r="A98" s="184" t="s">
        <v>170</v>
      </c>
      <c r="B98" s="185">
        <v>44</v>
      </c>
      <c r="C98" s="186" t="s">
        <v>246</v>
      </c>
      <c r="D98" s="186" t="s">
        <v>173</v>
      </c>
      <c r="E98" s="187"/>
      <c r="F98" s="187">
        <f>500000000-500000000</f>
        <v>0</v>
      </c>
      <c r="G98" s="187"/>
      <c r="H98" s="188" t="s">
        <v>710</v>
      </c>
      <c r="I98" s="189" t="s">
        <v>236</v>
      </c>
      <c r="J98" s="206">
        <v>1</v>
      </c>
      <c r="K98" s="206">
        <v>2</v>
      </c>
      <c r="L98" s="206">
        <v>3</v>
      </c>
      <c r="M98" s="185">
        <f t="shared" si="26"/>
        <v>1</v>
      </c>
      <c r="N98" s="193" t="s">
        <v>36</v>
      </c>
      <c r="O98" s="194" t="s">
        <v>256</v>
      </c>
      <c r="P98" s="195">
        <f t="shared" si="27"/>
        <v>1</v>
      </c>
      <c r="Q98" s="196">
        <f t="shared" si="32"/>
        <v>0</v>
      </c>
      <c r="R98" s="196">
        <f t="shared" si="33"/>
        <v>0</v>
      </c>
      <c r="S98" s="197" t="s">
        <v>217</v>
      </c>
      <c r="T98" s="193">
        <f t="shared" si="28"/>
        <v>0</v>
      </c>
      <c r="U98" s="198" t="str">
        <f t="shared" si="29"/>
        <v>SUBDIRECCION DE GESTION CONTRACTUAL</v>
      </c>
      <c r="V98" s="185" t="str">
        <f t="shared" si="30"/>
        <v>CO-DC</v>
      </c>
      <c r="W98" s="198" t="str">
        <f t="shared" si="31"/>
        <v>Distrito Capital de Bogotá</v>
      </c>
      <c r="X98" s="199" t="s">
        <v>979</v>
      </c>
      <c r="Y98" s="185">
        <v>2427400</v>
      </c>
      <c r="Z98" s="125" t="s">
        <v>980</v>
      </c>
    </row>
    <row r="99" spans="1:26" s="7" customFormat="1" ht="12.75" customHeight="1" x14ac:dyDescent="0.25">
      <c r="A99" s="184" t="s">
        <v>170</v>
      </c>
      <c r="B99" s="185">
        <v>45</v>
      </c>
      <c r="C99" s="186" t="s">
        <v>239</v>
      </c>
      <c r="D99" s="186" t="s">
        <v>173</v>
      </c>
      <c r="E99" s="187"/>
      <c r="F99" s="187">
        <f>500000000-500000000</f>
        <v>0</v>
      </c>
      <c r="G99" s="187"/>
      <c r="H99" s="188" t="s">
        <v>710</v>
      </c>
      <c r="I99" s="189" t="s">
        <v>236</v>
      </c>
      <c r="J99" s="206">
        <v>1</v>
      </c>
      <c r="K99" s="206">
        <v>2</v>
      </c>
      <c r="L99" s="206">
        <v>3</v>
      </c>
      <c r="M99" s="185">
        <f t="shared" si="26"/>
        <v>1</v>
      </c>
      <c r="N99" s="193" t="s">
        <v>36</v>
      </c>
      <c r="O99" s="194" t="s">
        <v>256</v>
      </c>
      <c r="P99" s="195">
        <v>1</v>
      </c>
      <c r="Q99" s="196">
        <f t="shared" si="32"/>
        <v>0</v>
      </c>
      <c r="R99" s="196">
        <f t="shared" si="33"/>
        <v>0</v>
      </c>
      <c r="S99" s="197" t="s">
        <v>217</v>
      </c>
      <c r="T99" s="193">
        <v>0</v>
      </c>
      <c r="U99" s="198" t="str">
        <f t="shared" si="29"/>
        <v>SUBDIRECCION DE GESTION CONTRACTUAL</v>
      </c>
      <c r="V99" s="185" t="s">
        <v>39</v>
      </c>
      <c r="W99" s="198" t="s">
        <v>38</v>
      </c>
      <c r="X99" s="199" t="s">
        <v>979</v>
      </c>
      <c r="Y99" s="185">
        <v>2427400</v>
      </c>
      <c r="Z99" s="125" t="s">
        <v>980</v>
      </c>
    </row>
    <row r="100" spans="1:26" s="7" customFormat="1" ht="12.75" customHeight="1" x14ac:dyDescent="0.25">
      <c r="A100" s="184" t="s">
        <v>170</v>
      </c>
      <c r="B100" s="185">
        <v>46</v>
      </c>
      <c r="C100" s="186" t="s">
        <v>246</v>
      </c>
      <c r="D100" s="186" t="s">
        <v>173</v>
      </c>
      <c r="E100" s="187"/>
      <c r="F100" s="187">
        <f>200000000+100000000+700000000-1000000000</f>
        <v>0</v>
      </c>
      <c r="G100" s="187"/>
      <c r="H100" s="246" t="s">
        <v>877</v>
      </c>
      <c r="I100" s="205" t="s">
        <v>860</v>
      </c>
      <c r="J100" s="206">
        <v>5</v>
      </c>
      <c r="K100" s="206">
        <v>5</v>
      </c>
      <c r="L100" s="206">
        <v>6</v>
      </c>
      <c r="M100" s="185">
        <v>1</v>
      </c>
      <c r="N100" s="193" t="s">
        <v>36</v>
      </c>
      <c r="O100" s="194" t="s">
        <v>256</v>
      </c>
      <c r="P100" s="195">
        <v>1</v>
      </c>
      <c r="Q100" s="196">
        <f t="shared" si="32"/>
        <v>0</v>
      </c>
      <c r="R100" s="196">
        <f t="shared" si="33"/>
        <v>0</v>
      </c>
      <c r="S100" s="197">
        <v>0</v>
      </c>
      <c r="T100" s="193">
        <v>0</v>
      </c>
      <c r="U100" s="198" t="str">
        <f t="shared" si="29"/>
        <v>SUBDIRECCION DE GESTION CONTRACTUAL</v>
      </c>
      <c r="V100" s="185" t="s">
        <v>39</v>
      </c>
      <c r="W100" s="198" t="s">
        <v>38</v>
      </c>
      <c r="X100" s="199" t="s">
        <v>979</v>
      </c>
      <c r="Y100" s="185">
        <v>2427400</v>
      </c>
      <c r="Z100" s="125" t="s">
        <v>980</v>
      </c>
    </row>
    <row r="101" spans="1:26" s="7" customFormat="1" ht="12.75" customHeight="1" x14ac:dyDescent="0.25">
      <c r="A101" s="184" t="s">
        <v>170</v>
      </c>
      <c r="B101" s="185">
        <v>47</v>
      </c>
      <c r="C101" s="186" t="s">
        <v>781</v>
      </c>
      <c r="D101" s="186" t="s">
        <v>173</v>
      </c>
      <c r="E101" s="187"/>
      <c r="F101" s="187">
        <v>1300000000</v>
      </c>
      <c r="G101" s="187"/>
      <c r="H101" s="249" t="s">
        <v>861</v>
      </c>
      <c r="I101" s="205" t="s">
        <v>936</v>
      </c>
      <c r="J101" s="206">
        <v>5</v>
      </c>
      <c r="K101" s="206">
        <v>5</v>
      </c>
      <c r="L101" s="206">
        <v>6</v>
      </c>
      <c r="M101" s="185">
        <v>1</v>
      </c>
      <c r="N101" s="193" t="s">
        <v>36</v>
      </c>
      <c r="O101" s="194" t="s">
        <v>256</v>
      </c>
      <c r="P101" s="195">
        <v>1</v>
      </c>
      <c r="Q101" s="196">
        <f t="shared" si="32"/>
        <v>1300000000</v>
      </c>
      <c r="R101" s="196">
        <f t="shared" si="33"/>
        <v>1300000000</v>
      </c>
      <c r="S101" s="197">
        <v>0</v>
      </c>
      <c r="T101" s="193">
        <v>0</v>
      </c>
      <c r="U101" s="198" t="str">
        <f t="shared" si="29"/>
        <v>SUBDIRECCION DE GESTION CONTRACTUAL</v>
      </c>
      <c r="V101" s="185" t="s">
        <v>39</v>
      </c>
      <c r="W101" s="198" t="s">
        <v>38</v>
      </c>
      <c r="X101" s="199" t="s">
        <v>979</v>
      </c>
      <c r="Y101" s="185">
        <v>2427400</v>
      </c>
      <c r="Z101" s="125" t="s">
        <v>980</v>
      </c>
    </row>
    <row r="102" spans="1:26" s="7" customFormat="1" ht="12.75" customHeight="1" x14ac:dyDescent="0.25">
      <c r="A102" s="184" t="s">
        <v>170</v>
      </c>
      <c r="B102" s="185">
        <v>48</v>
      </c>
      <c r="C102" s="186" t="s">
        <v>234</v>
      </c>
      <c r="D102" s="186" t="s">
        <v>173</v>
      </c>
      <c r="E102" s="187"/>
      <c r="F102" s="187">
        <f>800000000+400000000</f>
        <v>1200000000</v>
      </c>
      <c r="G102" s="187"/>
      <c r="H102" s="249" t="s">
        <v>861</v>
      </c>
      <c r="I102" s="205" t="s">
        <v>936</v>
      </c>
      <c r="J102" s="206">
        <v>8</v>
      </c>
      <c r="K102" s="206">
        <v>8</v>
      </c>
      <c r="L102" s="206">
        <v>4</v>
      </c>
      <c r="M102" s="185">
        <v>1</v>
      </c>
      <c r="N102" s="193" t="s">
        <v>36</v>
      </c>
      <c r="O102" s="194" t="s">
        <v>256</v>
      </c>
      <c r="P102" s="195">
        <v>1</v>
      </c>
      <c r="Q102" s="196">
        <f t="shared" si="32"/>
        <v>1200000000</v>
      </c>
      <c r="R102" s="196">
        <f t="shared" si="33"/>
        <v>1200000000</v>
      </c>
      <c r="S102" s="197">
        <v>0</v>
      </c>
      <c r="T102" s="193">
        <v>0</v>
      </c>
      <c r="U102" s="198" t="str">
        <f t="shared" si="29"/>
        <v>SUBDIRECCION DE GESTION CONTRACTUAL</v>
      </c>
      <c r="V102" s="185" t="s">
        <v>39</v>
      </c>
      <c r="W102" s="198" t="s">
        <v>38</v>
      </c>
      <c r="X102" s="199" t="s">
        <v>979</v>
      </c>
      <c r="Y102" s="185">
        <v>2427400</v>
      </c>
      <c r="Z102" s="125" t="s">
        <v>980</v>
      </c>
    </row>
    <row r="103" spans="1:26" s="7" customFormat="1" ht="12.75" customHeight="1" x14ac:dyDescent="0.25">
      <c r="A103" s="184" t="s">
        <v>170</v>
      </c>
      <c r="B103" s="185">
        <v>49</v>
      </c>
      <c r="C103" s="186" t="s">
        <v>237</v>
      </c>
      <c r="D103" s="186" t="s">
        <v>173</v>
      </c>
      <c r="E103" s="187"/>
      <c r="F103" s="187">
        <f>700000000+1000000000</f>
        <v>1700000000</v>
      </c>
      <c r="G103" s="187"/>
      <c r="H103" s="188">
        <v>80111608</v>
      </c>
      <c r="I103" s="189" t="s">
        <v>827</v>
      </c>
      <c r="J103" s="206">
        <v>6</v>
      </c>
      <c r="K103" s="206">
        <v>6</v>
      </c>
      <c r="L103" s="206">
        <v>5</v>
      </c>
      <c r="M103" s="185">
        <f t="shared" ref="M103:M128" si="34">IF(ISBLANK(J103),"",1)</f>
        <v>1</v>
      </c>
      <c r="N103" s="193" t="s">
        <v>36</v>
      </c>
      <c r="O103" s="194" t="s">
        <v>256</v>
      </c>
      <c r="P103" s="195">
        <f t="shared" ref="P103:P134" si="35">IF(ISBLANK(N103),"",1)</f>
        <v>1</v>
      </c>
      <c r="Q103" s="196">
        <f t="shared" si="32"/>
        <v>1700000000</v>
      </c>
      <c r="R103" s="196">
        <f t="shared" si="33"/>
        <v>1700000000</v>
      </c>
      <c r="S103" s="197" t="s">
        <v>217</v>
      </c>
      <c r="T103" s="193">
        <f t="shared" ref="T103:T134" si="36">IF(ISBLANK(S103),"",IF(VALUE(S103)=0,0,IF(VALUE(S103)=1,3,"")))</f>
        <v>0</v>
      </c>
      <c r="U103" s="198" t="str">
        <f t="shared" si="29"/>
        <v>SUBDIRECCION DE GESTION CONTRACTUAL</v>
      </c>
      <c r="V103" s="185" t="str">
        <f t="shared" ref="V103:V134" si="37">IF(ISBLANK(N103),"","CO-DC")</f>
        <v>CO-DC</v>
      </c>
      <c r="W103" s="198" t="str">
        <f t="shared" ref="W103:W134" si="38">IF(ISBLANK(N103),"","Distrito Capital de Bogotá")</f>
        <v>Distrito Capital de Bogotá</v>
      </c>
      <c r="X103" s="199" t="s">
        <v>979</v>
      </c>
      <c r="Y103" s="185">
        <v>2427400</v>
      </c>
      <c r="Z103" s="125" t="s">
        <v>980</v>
      </c>
    </row>
    <row r="104" spans="1:26" s="7" customFormat="1" ht="12.75" customHeight="1" x14ac:dyDescent="0.25">
      <c r="A104" s="184" t="s">
        <v>170</v>
      </c>
      <c r="B104" s="185">
        <v>50</v>
      </c>
      <c r="C104" s="186" t="s">
        <v>234</v>
      </c>
      <c r="D104" s="186" t="s">
        <v>87</v>
      </c>
      <c r="E104" s="187"/>
      <c r="F104" s="187">
        <v>150000000</v>
      </c>
      <c r="G104" s="187"/>
      <c r="H104" s="188">
        <v>80111608</v>
      </c>
      <c r="I104" s="189" t="s">
        <v>827</v>
      </c>
      <c r="J104" s="206">
        <v>6</v>
      </c>
      <c r="K104" s="206">
        <v>6</v>
      </c>
      <c r="L104" s="206">
        <v>5</v>
      </c>
      <c r="M104" s="185">
        <f t="shared" si="34"/>
        <v>1</v>
      </c>
      <c r="N104" s="193" t="s">
        <v>36</v>
      </c>
      <c r="O104" s="194" t="s">
        <v>256</v>
      </c>
      <c r="P104" s="195">
        <f t="shared" si="35"/>
        <v>1</v>
      </c>
      <c r="Q104" s="196">
        <f t="shared" si="32"/>
        <v>150000000</v>
      </c>
      <c r="R104" s="196">
        <f t="shared" si="33"/>
        <v>150000000</v>
      </c>
      <c r="S104" s="197" t="s">
        <v>217</v>
      </c>
      <c r="T104" s="193">
        <f t="shared" si="36"/>
        <v>0</v>
      </c>
      <c r="U104" s="198" t="str">
        <f t="shared" si="29"/>
        <v>SUBDIRECCION DE GESTION CONTRACTUAL</v>
      </c>
      <c r="V104" s="185" t="str">
        <f t="shared" si="37"/>
        <v>CO-DC</v>
      </c>
      <c r="W104" s="198" t="str">
        <f t="shared" si="38"/>
        <v>Distrito Capital de Bogotá</v>
      </c>
      <c r="X104" s="199" t="s">
        <v>979</v>
      </c>
      <c r="Y104" s="185">
        <v>2427400</v>
      </c>
      <c r="Z104" s="125" t="s">
        <v>980</v>
      </c>
    </row>
    <row r="105" spans="1:26" s="7" customFormat="1" ht="12.75" customHeight="1" x14ac:dyDescent="0.2">
      <c r="A105" s="184" t="s">
        <v>170</v>
      </c>
      <c r="B105" s="185">
        <v>51</v>
      </c>
      <c r="C105" s="186" t="s">
        <v>246</v>
      </c>
      <c r="D105" s="186" t="s">
        <v>173</v>
      </c>
      <c r="E105" s="187"/>
      <c r="F105" s="187">
        <v>200000000</v>
      </c>
      <c r="G105" s="187"/>
      <c r="H105" s="246" t="s">
        <v>1022</v>
      </c>
      <c r="I105" s="205" t="s">
        <v>1036</v>
      </c>
      <c r="J105" s="206">
        <v>8</v>
      </c>
      <c r="K105" s="206">
        <v>9</v>
      </c>
      <c r="L105" s="206">
        <v>2</v>
      </c>
      <c r="M105" s="185">
        <f t="shared" si="34"/>
        <v>1</v>
      </c>
      <c r="N105" s="193" t="s">
        <v>53</v>
      </c>
      <c r="O105" s="194" t="s">
        <v>1019</v>
      </c>
      <c r="P105" s="195">
        <f t="shared" si="35"/>
        <v>1</v>
      </c>
      <c r="Q105" s="196">
        <f t="shared" si="32"/>
        <v>200000000</v>
      </c>
      <c r="R105" s="196">
        <f t="shared" si="33"/>
        <v>200000000</v>
      </c>
      <c r="S105" s="197" t="s">
        <v>217</v>
      </c>
      <c r="T105" s="193">
        <f t="shared" si="36"/>
        <v>0</v>
      </c>
      <c r="U105" s="198" t="str">
        <f t="shared" si="29"/>
        <v>SUBDIRECCION DE GESTION CONTRACTUAL</v>
      </c>
      <c r="V105" s="185" t="str">
        <f t="shared" si="37"/>
        <v>CO-DC</v>
      </c>
      <c r="W105" s="198" t="str">
        <f t="shared" si="38"/>
        <v>Distrito Capital de Bogotá</v>
      </c>
      <c r="X105" s="199" t="s">
        <v>76</v>
      </c>
      <c r="Y105" s="185">
        <v>2427400</v>
      </c>
      <c r="Z105" s="200" t="s">
        <v>253</v>
      </c>
    </row>
    <row r="106" spans="1:26" s="7" customFormat="1" ht="12.75" customHeight="1" x14ac:dyDescent="0.2">
      <c r="A106" s="184" t="s">
        <v>67</v>
      </c>
      <c r="B106" s="185">
        <v>1</v>
      </c>
      <c r="C106" s="186" t="s">
        <v>255</v>
      </c>
      <c r="D106" s="186" t="s">
        <v>87</v>
      </c>
      <c r="E106" s="187"/>
      <c r="F106" s="187">
        <f>10263157661-1800000000-5200000000</f>
        <v>3263157661</v>
      </c>
      <c r="G106" s="187"/>
      <c r="H106" s="188" t="s">
        <v>68</v>
      </c>
      <c r="I106" s="189" t="s">
        <v>277</v>
      </c>
      <c r="J106" s="201">
        <v>8</v>
      </c>
      <c r="K106" s="201">
        <v>9</v>
      </c>
      <c r="L106" s="201">
        <v>3</v>
      </c>
      <c r="M106" s="185">
        <f t="shared" si="34"/>
        <v>1</v>
      </c>
      <c r="N106" s="193" t="s">
        <v>36</v>
      </c>
      <c r="O106" s="194" t="s">
        <v>256</v>
      </c>
      <c r="P106" s="195">
        <f t="shared" si="35"/>
        <v>1</v>
      </c>
      <c r="Q106" s="196">
        <f t="shared" si="32"/>
        <v>3263157661</v>
      </c>
      <c r="R106" s="196">
        <f t="shared" si="33"/>
        <v>3263157661</v>
      </c>
      <c r="S106" s="197" t="s">
        <v>217</v>
      </c>
      <c r="T106" s="193">
        <f t="shared" si="36"/>
        <v>0</v>
      </c>
      <c r="U106" s="198" t="str">
        <f t="shared" si="29"/>
        <v>SUBDIRECCION DE GESTION CONTRACTUAL</v>
      </c>
      <c r="V106" s="185" t="str">
        <f t="shared" si="37"/>
        <v>CO-DC</v>
      </c>
      <c r="W106" s="198" t="str">
        <f t="shared" si="38"/>
        <v>Distrito Capital de Bogotá</v>
      </c>
      <c r="X106" s="199" t="s">
        <v>69</v>
      </c>
      <c r="Y106" s="185">
        <v>2427401</v>
      </c>
      <c r="Z106" s="200" t="s">
        <v>70</v>
      </c>
    </row>
    <row r="107" spans="1:26" s="7" customFormat="1" ht="12.75" customHeight="1" x14ac:dyDescent="0.2">
      <c r="A107" s="184" t="s">
        <v>67</v>
      </c>
      <c r="B107" s="185">
        <v>2</v>
      </c>
      <c r="C107" s="186" t="s">
        <v>257</v>
      </c>
      <c r="D107" s="186" t="s">
        <v>71</v>
      </c>
      <c r="E107" s="187"/>
      <c r="F107" s="187">
        <f>39437700000-14575554553-2000000000-300000000</f>
        <v>22562145447</v>
      </c>
      <c r="G107" s="187"/>
      <c r="H107" s="188" t="s">
        <v>68</v>
      </c>
      <c r="I107" s="189" t="s">
        <v>278</v>
      </c>
      <c r="J107" s="201">
        <v>8</v>
      </c>
      <c r="K107" s="201">
        <v>9</v>
      </c>
      <c r="L107" s="201">
        <v>3</v>
      </c>
      <c r="M107" s="185">
        <f t="shared" si="34"/>
        <v>1</v>
      </c>
      <c r="N107" s="193" t="s">
        <v>36</v>
      </c>
      <c r="O107" s="194" t="s">
        <v>256</v>
      </c>
      <c r="P107" s="195">
        <f t="shared" si="35"/>
        <v>1</v>
      </c>
      <c r="Q107" s="196">
        <f t="shared" si="32"/>
        <v>22562145447</v>
      </c>
      <c r="R107" s="196">
        <f t="shared" si="33"/>
        <v>22562145447</v>
      </c>
      <c r="S107" s="197" t="s">
        <v>217</v>
      </c>
      <c r="T107" s="193">
        <f t="shared" si="36"/>
        <v>0</v>
      </c>
      <c r="U107" s="198" t="str">
        <f t="shared" si="29"/>
        <v>SUBDIRECCION DE GESTION CONTRACTUAL</v>
      </c>
      <c r="V107" s="185" t="str">
        <f t="shared" si="37"/>
        <v>CO-DC</v>
      </c>
      <c r="W107" s="198" t="str">
        <f t="shared" si="38"/>
        <v>Distrito Capital de Bogotá</v>
      </c>
      <c r="X107" s="199" t="s">
        <v>69</v>
      </c>
      <c r="Y107" s="185">
        <v>2427401</v>
      </c>
      <c r="Z107" s="200" t="s">
        <v>70</v>
      </c>
    </row>
    <row r="108" spans="1:26" s="7" customFormat="1" ht="12.75" customHeight="1" x14ac:dyDescent="0.2">
      <c r="A108" s="184" t="s">
        <v>67</v>
      </c>
      <c r="B108" s="185">
        <v>3</v>
      </c>
      <c r="C108" s="186" t="s">
        <v>258</v>
      </c>
      <c r="D108" s="186" t="s">
        <v>71</v>
      </c>
      <c r="E108" s="187"/>
      <c r="F108" s="187">
        <f>3400000000-150000000-250000000</f>
        <v>3000000000</v>
      </c>
      <c r="G108" s="187"/>
      <c r="H108" s="188" t="s">
        <v>68</v>
      </c>
      <c r="I108" s="189" t="s">
        <v>865</v>
      </c>
      <c r="J108" s="190">
        <v>8</v>
      </c>
      <c r="K108" s="190">
        <v>8</v>
      </c>
      <c r="L108" s="192">
        <v>4</v>
      </c>
      <c r="M108" s="185">
        <f t="shared" si="34"/>
        <v>1</v>
      </c>
      <c r="N108" s="193" t="s">
        <v>36</v>
      </c>
      <c r="O108" s="194" t="s">
        <v>256</v>
      </c>
      <c r="P108" s="195">
        <f t="shared" si="35"/>
        <v>1</v>
      </c>
      <c r="Q108" s="196">
        <f t="shared" si="32"/>
        <v>3000000000</v>
      </c>
      <c r="R108" s="196">
        <f t="shared" si="33"/>
        <v>3000000000</v>
      </c>
      <c r="S108" s="197" t="s">
        <v>217</v>
      </c>
      <c r="T108" s="193">
        <f t="shared" si="36"/>
        <v>0</v>
      </c>
      <c r="U108" s="198" t="str">
        <f t="shared" si="29"/>
        <v>SUBDIRECCION DE GESTION CONTRACTUAL</v>
      </c>
      <c r="V108" s="185" t="str">
        <f t="shared" si="37"/>
        <v>CO-DC</v>
      </c>
      <c r="W108" s="198" t="str">
        <f t="shared" si="38"/>
        <v>Distrito Capital de Bogotá</v>
      </c>
      <c r="X108" s="199" t="s">
        <v>69</v>
      </c>
      <c r="Y108" s="185">
        <v>2427401</v>
      </c>
      <c r="Z108" s="200" t="s">
        <v>70</v>
      </c>
    </row>
    <row r="109" spans="1:26" s="7" customFormat="1" ht="12.75" customHeight="1" x14ac:dyDescent="0.2">
      <c r="A109" s="184" t="s">
        <v>67</v>
      </c>
      <c r="B109" s="185">
        <v>4</v>
      </c>
      <c r="C109" s="186" t="s">
        <v>259</v>
      </c>
      <c r="D109" s="186" t="s">
        <v>71</v>
      </c>
      <c r="E109" s="187"/>
      <c r="F109" s="187">
        <v>550000000</v>
      </c>
      <c r="G109" s="187"/>
      <c r="H109" s="188" t="s">
        <v>710</v>
      </c>
      <c r="I109" s="189" t="s">
        <v>541</v>
      </c>
      <c r="J109" s="190">
        <v>2</v>
      </c>
      <c r="K109" s="191">
        <v>3</v>
      </c>
      <c r="L109" s="192">
        <v>9</v>
      </c>
      <c r="M109" s="185">
        <f t="shared" si="34"/>
        <v>1</v>
      </c>
      <c r="N109" s="193" t="s">
        <v>221</v>
      </c>
      <c r="O109" s="194" t="s">
        <v>903</v>
      </c>
      <c r="P109" s="195">
        <f t="shared" si="35"/>
        <v>1</v>
      </c>
      <c r="Q109" s="196">
        <f t="shared" si="32"/>
        <v>550000000</v>
      </c>
      <c r="R109" s="196">
        <f t="shared" si="33"/>
        <v>550000000</v>
      </c>
      <c r="S109" s="197" t="s">
        <v>217</v>
      </c>
      <c r="T109" s="193">
        <f t="shared" si="36"/>
        <v>0</v>
      </c>
      <c r="U109" s="198" t="str">
        <f t="shared" ref="U109:U140" si="39">IF(ISBLANK(N109),"","SUBDIRECCION DE GESTION CONTRACTUAL")</f>
        <v>SUBDIRECCION DE GESTION CONTRACTUAL</v>
      </c>
      <c r="V109" s="185" t="str">
        <f t="shared" si="37"/>
        <v>CO-DC</v>
      </c>
      <c r="W109" s="198" t="str">
        <f t="shared" si="38"/>
        <v>Distrito Capital de Bogotá</v>
      </c>
      <c r="X109" s="199" t="s">
        <v>69</v>
      </c>
      <c r="Y109" s="185">
        <v>2427401</v>
      </c>
      <c r="Z109" s="200" t="s">
        <v>70</v>
      </c>
    </row>
    <row r="110" spans="1:26" s="7" customFormat="1" ht="12.75" customHeight="1" x14ac:dyDescent="0.2">
      <c r="A110" s="184" t="s">
        <v>67</v>
      </c>
      <c r="B110" s="185">
        <v>5</v>
      </c>
      <c r="C110" s="186" t="s">
        <v>260</v>
      </c>
      <c r="D110" s="186" t="s">
        <v>71</v>
      </c>
      <c r="E110" s="187"/>
      <c r="F110" s="187">
        <f>4800000000-2262170637+2262170637</f>
        <v>4800000000</v>
      </c>
      <c r="G110" s="187"/>
      <c r="H110" s="188" t="s">
        <v>710</v>
      </c>
      <c r="I110" s="189" t="s">
        <v>541</v>
      </c>
      <c r="J110" s="190">
        <v>2</v>
      </c>
      <c r="K110" s="191">
        <v>3</v>
      </c>
      <c r="L110" s="192">
        <v>9</v>
      </c>
      <c r="M110" s="185">
        <f t="shared" si="34"/>
        <v>1</v>
      </c>
      <c r="N110" s="193" t="s">
        <v>221</v>
      </c>
      <c r="O110" s="194" t="s">
        <v>903</v>
      </c>
      <c r="P110" s="195">
        <f t="shared" si="35"/>
        <v>1</v>
      </c>
      <c r="Q110" s="196">
        <f t="shared" si="32"/>
        <v>4800000000</v>
      </c>
      <c r="R110" s="196">
        <f t="shared" si="33"/>
        <v>4800000000</v>
      </c>
      <c r="S110" s="197" t="s">
        <v>217</v>
      </c>
      <c r="T110" s="193">
        <f t="shared" si="36"/>
        <v>0</v>
      </c>
      <c r="U110" s="198" t="str">
        <f t="shared" si="39"/>
        <v>SUBDIRECCION DE GESTION CONTRACTUAL</v>
      </c>
      <c r="V110" s="185" t="str">
        <f t="shared" si="37"/>
        <v>CO-DC</v>
      </c>
      <c r="W110" s="198" t="str">
        <f t="shared" si="38"/>
        <v>Distrito Capital de Bogotá</v>
      </c>
      <c r="X110" s="199" t="s">
        <v>69</v>
      </c>
      <c r="Y110" s="185">
        <v>2427401</v>
      </c>
      <c r="Z110" s="200" t="s">
        <v>70</v>
      </c>
    </row>
    <row r="111" spans="1:26" s="7" customFormat="1" ht="12.75" customHeight="1" x14ac:dyDescent="0.2">
      <c r="A111" s="184" t="s">
        <v>67</v>
      </c>
      <c r="B111" s="185">
        <v>6</v>
      </c>
      <c r="C111" s="186" t="s">
        <v>261</v>
      </c>
      <c r="D111" s="186" t="s">
        <v>71</v>
      </c>
      <c r="E111" s="187"/>
      <c r="F111" s="187">
        <v>1500000000</v>
      </c>
      <c r="G111" s="187"/>
      <c r="H111" s="188" t="s">
        <v>68</v>
      </c>
      <c r="I111" s="189" t="s">
        <v>967</v>
      </c>
      <c r="J111" s="201">
        <v>8</v>
      </c>
      <c r="K111" s="201">
        <v>9</v>
      </c>
      <c r="L111" s="201">
        <v>3</v>
      </c>
      <c r="M111" s="185">
        <f t="shared" si="34"/>
        <v>1</v>
      </c>
      <c r="N111" s="193" t="s">
        <v>36</v>
      </c>
      <c r="O111" s="194" t="s">
        <v>256</v>
      </c>
      <c r="P111" s="195">
        <f t="shared" si="35"/>
        <v>1</v>
      </c>
      <c r="Q111" s="196">
        <f t="shared" si="32"/>
        <v>1500000000</v>
      </c>
      <c r="R111" s="196">
        <f t="shared" si="33"/>
        <v>1500000000</v>
      </c>
      <c r="S111" s="197" t="s">
        <v>217</v>
      </c>
      <c r="T111" s="193">
        <f t="shared" si="36"/>
        <v>0</v>
      </c>
      <c r="U111" s="198" t="str">
        <f t="shared" si="39"/>
        <v>SUBDIRECCION DE GESTION CONTRACTUAL</v>
      </c>
      <c r="V111" s="185" t="str">
        <f t="shared" si="37"/>
        <v>CO-DC</v>
      </c>
      <c r="W111" s="198" t="str">
        <f t="shared" si="38"/>
        <v>Distrito Capital de Bogotá</v>
      </c>
      <c r="X111" s="199" t="s">
        <v>69</v>
      </c>
      <c r="Y111" s="185">
        <v>2427401</v>
      </c>
      <c r="Z111" s="200" t="s">
        <v>70</v>
      </c>
    </row>
    <row r="112" spans="1:26" s="7" customFormat="1" ht="12.75" customHeight="1" x14ac:dyDescent="0.2">
      <c r="A112" s="184" t="s">
        <v>67</v>
      </c>
      <c r="B112" s="185">
        <v>7</v>
      </c>
      <c r="C112" s="186" t="s">
        <v>262</v>
      </c>
      <c r="D112" s="186" t="s">
        <v>71</v>
      </c>
      <c r="E112" s="187"/>
      <c r="F112" s="187">
        <v>100000000</v>
      </c>
      <c r="G112" s="187"/>
      <c r="H112" s="188" t="s">
        <v>710</v>
      </c>
      <c r="I112" s="189" t="s">
        <v>541</v>
      </c>
      <c r="J112" s="190">
        <v>2</v>
      </c>
      <c r="K112" s="191">
        <v>3</v>
      </c>
      <c r="L112" s="192">
        <v>9</v>
      </c>
      <c r="M112" s="185">
        <f t="shared" si="34"/>
        <v>1</v>
      </c>
      <c r="N112" s="193" t="s">
        <v>221</v>
      </c>
      <c r="O112" s="194" t="s">
        <v>903</v>
      </c>
      <c r="P112" s="195">
        <f t="shared" si="35"/>
        <v>1</v>
      </c>
      <c r="Q112" s="196">
        <f t="shared" si="32"/>
        <v>100000000</v>
      </c>
      <c r="R112" s="196">
        <f t="shared" si="33"/>
        <v>100000000</v>
      </c>
      <c r="S112" s="197" t="s">
        <v>217</v>
      </c>
      <c r="T112" s="193">
        <f t="shared" si="36"/>
        <v>0</v>
      </c>
      <c r="U112" s="198" t="str">
        <f t="shared" si="39"/>
        <v>SUBDIRECCION DE GESTION CONTRACTUAL</v>
      </c>
      <c r="V112" s="185" t="str">
        <f t="shared" si="37"/>
        <v>CO-DC</v>
      </c>
      <c r="W112" s="198" t="str">
        <f t="shared" si="38"/>
        <v>Distrito Capital de Bogotá</v>
      </c>
      <c r="X112" s="199" t="s">
        <v>69</v>
      </c>
      <c r="Y112" s="185">
        <v>2427401</v>
      </c>
      <c r="Z112" s="200" t="s">
        <v>70</v>
      </c>
    </row>
    <row r="113" spans="1:26" s="7" customFormat="1" ht="12.75" customHeight="1" x14ac:dyDescent="0.2">
      <c r="A113" s="184" t="s">
        <v>67</v>
      </c>
      <c r="B113" s="185">
        <v>8</v>
      </c>
      <c r="C113" s="186" t="s">
        <v>263</v>
      </c>
      <c r="D113" s="186" t="s">
        <v>71</v>
      </c>
      <c r="E113" s="187"/>
      <c r="F113" s="187">
        <f>10000000000+2000000000</f>
        <v>12000000000</v>
      </c>
      <c r="G113" s="187"/>
      <c r="H113" s="188">
        <v>80111600</v>
      </c>
      <c r="I113" s="189" t="s">
        <v>279</v>
      </c>
      <c r="J113" s="190">
        <v>1</v>
      </c>
      <c r="K113" s="191">
        <v>1</v>
      </c>
      <c r="L113" s="192">
        <v>12</v>
      </c>
      <c r="M113" s="185">
        <f t="shared" si="34"/>
        <v>1</v>
      </c>
      <c r="N113" s="193" t="s">
        <v>210</v>
      </c>
      <c r="O113" s="194" t="s">
        <v>264</v>
      </c>
      <c r="P113" s="195">
        <f t="shared" si="35"/>
        <v>1</v>
      </c>
      <c r="Q113" s="196">
        <f t="shared" si="32"/>
        <v>12000000000</v>
      </c>
      <c r="R113" s="196">
        <f t="shared" si="33"/>
        <v>12000000000</v>
      </c>
      <c r="S113" s="197" t="s">
        <v>217</v>
      </c>
      <c r="T113" s="193">
        <f t="shared" si="36"/>
        <v>0</v>
      </c>
      <c r="U113" s="198" t="str">
        <f t="shared" si="39"/>
        <v>SUBDIRECCION DE GESTION CONTRACTUAL</v>
      </c>
      <c r="V113" s="185" t="str">
        <f t="shared" si="37"/>
        <v>CO-DC</v>
      </c>
      <c r="W113" s="198" t="str">
        <f t="shared" si="38"/>
        <v>Distrito Capital de Bogotá</v>
      </c>
      <c r="X113" s="199" t="s">
        <v>69</v>
      </c>
      <c r="Y113" s="185">
        <v>2427401</v>
      </c>
      <c r="Z113" s="200" t="s">
        <v>70</v>
      </c>
    </row>
    <row r="114" spans="1:26" s="7" customFormat="1" ht="12.75" customHeight="1" x14ac:dyDescent="0.2">
      <c r="A114" s="184" t="s">
        <v>67</v>
      </c>
      <c r="B114" s="185">
        <v>9</v>
      </c>
      <c r="C114" s="186" t="s">
        <v>263</v>
      </c>
      <c r="D114" s="186" t="s">
        <v>71</v>
      </c>
      <c r="E114" s="187"/>
      <c r="F114" s="187">
        <f>1000000000-106674810</f>
        <v>893325190</v>
      </c>
      <c r="G114" s="187"/>
      <c r="H114" s="188" t="s">
        <v>101</v>
      </c>
      <c r="I114" s="189" t="s">
        <v>549</v>
      </c>
      <c r="J114" s="190">
        <v>2</v>
      </c>
      <c r="K114" s="191">
        <v>3</v>
      </c>
      <c r="L114" s="192">
        <v>10</v>
      </c>
      <c r="M114" s="185">
        <f t="shared" si="34"/>
        <v>1</v>
      </c>
      <c r="N114" s="193" t="s">
        <v>36</v>
      </c>
      <c r="O114" s="194" t="s">
        <v>256</v>
      </c>
      <c r="P114" s="195">
        <f t="shared" si="35"/>
        <v>1</v>
      </c>
      <c r="Q114" s="196">
        <f t="shared" si="32"/>
        <v>893325190</v>
      </c>
      <c r="R114" s="196">
        <f t="shared" si="33"/>
        <v>893325190</v>
      </c>
      <c r="S114" s="197" t="s">
        <v>217</v>
      </c>
      <c r="T114" s="193">
        <f t="shared" si="36"/>
        <v>0</v>
      </c>
      <c r="U114" s="198" t="str">
        <f t="shared" si="39"/>
        <v>SUBDIRECCION DE GESTION CONTRACTUAL</v>
      </c>
      <c r="V114" s="185" t="str">
        <f t="shared" si="37"/>
        <v>CO-DC</v>
      </c>
      <c r="W114" s="198" t="str">
        <f t="shared" si="38"/>
        <v>Distrito Capital de Bogotá</v>
      </c>
      <c r="X114" s="199" t="s">
        <v>69</v>
      </c>
      <c r="Y114" s="185">
        <v>2427401</v>
      </c>
      <c r="Z114" s="200" t="s">
        <v>70</v>
      </c>
    </row>
    <row r="115" spans="1:26" s="7" customFormat="1" ht="12.75" customHeight="1" x14ac:dyDescent="0.2">
      <c r="A115" s="184" t="s">
        <v>67</v>
      </c>
      <c r="B115" s="185">
        <v>10</v>
      </c>
      <c r="C115" s="186" t="s">
        <v>263</v>
      </c>
      <c r="D115" s="186" t="s">
        <v>71</v>
      </c>
      <c r="E115" s="187"/>
      <c r="F115" s="187">
        <v>800000000</v>
      </c>
      <c r="G115" s="187"/>
      <c r="H115" s="188" t="s">
        <v>42</v>
      </c>
      <c r="I115" s="189" t="s">
        <v>546</v>
      </c>
      <c r="J115" s="190">
        <v>3</v>
      </c>
      <c r="K115" s="191">
        <v>4</v>
      </c>
      <c r="L115" s="192">
        <v>9</v>
      </c>
      <c r="M115" s="185">
        <f t="shared" si="34"/>
        <v>1</v>
      </c>
      <c r="N115" s="193" t="s">
        <v>61</v>
      </c>
      <c r="O115" s="194" t="s">
        <v>902</v>
      </c>
      <c r="P115" s="195">
        <f t="shared" si="35"/>
        <v>1</v>
      </c>
      <c r="Q115" s="196">
        <f t="shared" si="32"/>
        <v>800000000</v>
      </c>
      <c r="R115" s="196">
        <f t="shared" si="33"/>
        <v>800000000</v>
      </c>
      <c r="S115" s="197" t="s">
        <v>217</v>
      </c>
      <c r="T115" s="193">
        <f t="shared" si="36"/>
        <v>0</v>
      </c>
      <c r="U115" s="198" t="str">
        <f t="shared" si="39"/>
        <v>SUBDIRECCION DE GESTION CONTRACTUAL</v>
      </c>
      <c r="V115" s="185" t="str">
        <f t="shared" si="37"/>
        <v>CO-DC</v>
      </c>
      <c r="W115" s="198" t="str">
        <f t="shared" si="38"/>
        <v>Distrito Capital de Bogotá</v>
      </c>
      <c r="X115" s="199" t="s">
        <v>69</v>
      </c>
      <c r="Y115" s="185">
        <v>2427401</v>
      </c>
      <c r="Z115" s="200" t="s">
        <v>70</v>
      </c>
    </row>
    <row r="116" spans="1:26" s="7" customFormat="1" ht="12.75" customHeight="1" x14ac:dyDescent="0.2">
      <c r="A116" s="184" t="s">
        <v>67</v>
      </c>
      <c r="B116" s="185">
        <v>11</v>
      </c>
      <c r="C116" s="186" t="s">
        <v>265</v>
      </c>
      <c r="D116" s="186" t="s">
        <v>71</v>
      </c>
      <c r="E116" s="187"/>
      <c r="F116" s="187">
        <v>500000000</v>
      </c>
      <c r="G116" s="187"/>
      <c r="H116" s="188" t="s">
        <v>68</v>
      </c>
      <c r="I116" s="250" t="s">
        <v>967</v>
      </c>
      <c r="J116" s="201">
        <v>8</v>
      </c>
      <c r="K116" s="201">
        <v>9</v>
      </c>
      <c r="L116" s="201">
        <v>3</v>
      </c>
      <c r="M116" s="185">
        <f t="shared" si="34"/>
        <v>1</v>
      </c>
      <c r="N116" s="193" t="s">
        <v>36</v>
      </c>
      <c r="O116" s="194" t="s">
        <v>256</v>
      </c>
      <c r="P116" s="195">
        <f t="shared" si="35"/>
        <v>1</v>
      </c>
      <c r="Q116" s="196">
        <f t="shared" si="32"/>
        <v>500000000</v>
      </c>
      <c r="R116" s="196">
        <f t="shared" si="33"/>
        <v>500000000</v>
      </c>
      <c r="S116" s="197" t="s">
        <v>217</v>
      </c>
      <c r="T116" s="193">
        <f t="shared" si="36"/>
        <v>0</v>
      </c>
      <c r="U116" s="198" t="str">
        <f t="shared" si="39"/>
        <v>SUBDIRECCION DE GESTION CONTRACTUAL</v>
      </c>
      <c r="V116" s="185" t="str">
        <f t="shared" si="37"/>
        <v>CO-DC</v>
      </c>
      <c r="W116" s="198" t="str">
        <f t="shared" si="38"/>
        <v>Distrito Capital de Bogotá</v>
      </c>
      <c r="X116" s="199" t="s">
        <v>69</v>
      </c>
      <c r="Y116" s="185">
        <v>2427401</v>
      </c>
      <c r="Z116" s="200" t="s">
        <v>70</v>
      </c>
    </row>
    <row r="117" spans="1:26" s="7" customFormat="1" ht="12.75" customHeight="1" x14ac:dyDescent="0.2">
      <c r="A117" s="184" t="s">
        <v>67</v>
      </c>
      <c r="B117" s="185">
        <v>12</v>
      </c>
      <c r="C117" s="186" t="s">
        <v>266</v>
      </c>
      <c r="D117" s="186" t="s">
        <v>71</v>
      </c>
      <c r="E117" s="187"/>
      <c r="F117" s="187">
        <f>350000000-50000000</f>
        <v>300000000</v>
      </c>
      <c r="G117" s="187"/>
      <c r="H117" s="188" t="s">
        <v>68</v>
      </c>
      <c r="I117" s="189" t="s">
        <v>967</v>
      </c>
      <c r="J117" s="201">
        <v>8</v>
      </c>
      <c r="K117" s="201">
        <v>9</v>
      </c>
      <c r="L117" s="201">
        <v>3</v>
      </c>
      <c r="M117" s="185">
        <f t="shared" si="34"/>
        <v>1</v>
      </c>
      <c r="N117" s="193" t="s">
        <v>36</v>
      </c>
      <c r="O117" s="194" t="s">
        <v>256</v>
      </c>
      <c r="P117" s="195">
        <f t="shared" si="35"/>
        <v>1</v>
      </c>
      <c r="Q117" s="196">
        <f t="shared" ref="Q117:Q131" si="40">+E117+F117+G117</f>
        <v>300000000</v>
      </c>
      <c r="R117" s="196">
        <f t="shared" ref="R117:R131" si="41">+F117</f>
        <v>300000000</v>
      </c>
      <c r="S117" s="197" t="s">
        <v>217</v>
      </c>
      <c r="T117" s="193">
        <f t="shared" si="36"/>
        <v>0</v>
      </c>
      <c r="U117" s="198" t="str">
        <f t="shared" si="39"/>
        <v>SUBDIRECCION DE GESTION CONTRACTUAL</v>
      </c>
      <c r="V117" s="185" t="str">
        <f t="shared" si="37"/>
        <v>CO-DC</v>
      </c>
      <c r="W117" s="198" t="str">
        <f t="shared" si="38"/>
        <v>Distrito Capital de Bogotá</v>
      </c>
      <c r="X117" s="199" t="s">
        <v>69</v>
      </c>
      <c r="Y117" s="185">
        <v>2427401</v>
      </c>
      <c r="Z117" s="200" t="s">
        <v>70</v>
      </c>
    </row>
    <row r="118" spans="1:26" s="7" customFormat="1" ht="12.75" customHeight="1" x14ac:dyDescent="0.2">
      <c r="A118" s="184" t="s">
        <v>67</v>
      </c>
      <c r="B118" s="185">
        <v>13</v>
      </c>
      <c r="C118" s="186" t="s">
        <v>267</v>
      </c>
      <c r="D118" s="186" t="s">
        <v>71</v>
      </c>
      <c r="E118" s="187"/>
      <c r="F118" s="187">
        <v>800000000</v>
      </c>
      <c r="G118" s="187"/>
      <c r="H118" s="188" t="s">
        <v>710</v>
      </c>
      <c r="I118" s="189" t="s">
        <v>541</v>
      </c>
      <c r="J118" s="190">
        <v>2</v>
      </c>
      <c r="K118" s="191">
        <v>3</v>
      </c>
      <c r="L118" s="192">
        <v>9</v>
      </c>
      <c r="M118" s="185">
        <f t="shared" si="34"/>
        <v>1</v>
      </c>
      <c r="N118" s="193" t="s">
        <v>221</v>
      </c>
      <c r="O118" s="194" t="s">
        <v>903</v>
      </c>
      <c r="P118" s="195">
        <f t="shared" si="35"/>
        <v>1</v>
      </c>
      <c r="Q118" s="196">
        <f t="shared" si="40"/>
        <v>800000000</v>
      </c>
      <c r="R118" s="196">
        <f t="shared" si="41"/>
        <v>800000000</v>
      </c>
      <c r="S118" s="197" t="s">
        <v>217</v>
      </c>
      <c r="T118" s="193">
        <f t="shared" si="36"/>
        <v>0</v>
      </c>
      <c r="U118" s="198" t="str">
        <f t="shared" si="39"/>
        <v>SUBDIRECCION DE GESTION CONTRACTUAL</v>
      </c>
      <c r="V118" s="185" t="str">
        <f t="shared" si="37"/>
        <v>CO-DC</v>
      </c>
      <c r="W118" s="198" t="str">
        <f t="shared" si="38"/>
        <v>Distrito Capital de Bogotá</v>
      </c>
      <c r="X118" s="199" t="s">
        <v>69</v>
      </c>
      <c r="Y118" s="185">
        <v>2427401</v>
      </c>
      <c r="Z118" s="200" t="s">
        <v>70</v>
      </c>
    </row>
    <row r="119" spans="1:26" s="7" customFormat="1" ht="12.75" customHeight="1" x14ac:dyDescent="0.2">
      <c r="A119" s="184" t="s">
        <v>67</v>
      </c>
      <c r="B119" s="185">
        <v>14</v>
      </c>
      <c r="C119" s="186" t="s">
        <v>268</v>
      </c>
      <c r="D119" s="186" t="s">
        <v>71</v>
      </c>
      <c r="E119" s="187"/>
      <c r="F119" s="187">
        <v>200000000</v>
      </c>
      <c r="G119" s="187"/>
      <c r="H119" s="188" t="s">
        <v>710</v>
      </c>
      <c r="I119" s="189" t="s">
        <v>541</v>
      </c>
      <c r="J119" s="190">
        <v>2</v>
      </c>
      <c r="K119" s="191">
        <v>3</v>
      </c>
      <c r="L119" s="192">
        <v>9</v>
      </c>
      <c r="M119" s="185">
        <f t="shared" si="34"/>
        <v>1</v>
      </c>
      <c r="N119" s="193" t="s">
        <v>221</v>
      </c>
      <c r="O119" s="194" t="s">
        <v>903</v>
      </c>
      <c r="P119" s="195">
        <f t="shared" si="35"/>
        <v>1</v>
      </c>
      <c r="Q119" s="196">
        <f t="shared" si="40"/>
        <v>200000000</v>
      </c>
      <c r="R119" s="196">
        <f t="shared" si="41"/>
        <v>200000000</v>
      </c>
      <c r="S119" s="197" t="s">
        <v>217</v>
      </c>
      <c r="T119" s="193">
        <f t="shared" si="36"/>
        <v>0</v>
      </c>
      <c r="U119" s="198" t="str">
        <f t="shared" si="39"/>
        <v>SUBDIRECCION DE GESTION CONTRACTUAL</v>
      </c>
      <c r="V119" s="185" t="str">
        <f t="shared" si="37"/>
        <v>CO-DC</v>
      </c>
      <c r="W119" s="198" t="str">
        <f t="shared" si="38"/>
        <v>Distrito Capital de Bogotá</v>
      </c>
      <c r="X119" s="199" t="s">
        <v>69</v>
      </c>
      <c r="Y119" s="185">
        <v>2427401</v>
      </c>
      <c r="Z119" s="200" t="s">
        <v>70</v>
      </c>
    </row>
    <row r="120" spans="1:26" s="7" customFormat="1" ht="12.75" customHeight="1" x14ac:dyDescent="0.2">
      <c r="A120" s="184" t="s">
        <v>67</v>
      </c>
      <c r="B120" s="185">
        <v>15</v>
      </c>
      <c r="C120" s="186" t="s">
        <v>269</v>
      </c>
      <c r="D120" s="186" t="s">
        <v>71</v>
      </c>
      <c r="E120" s="187"/>
      <c r="F120" s="187">
        <v>200000000</v>
      </c>
      <c r="G120" s="187"/>
      <c r="H120" s="188" t="s">
        <v>710</v>
      </c>
      <c r="I120" s="189" t="s">
        <v>541</v>
      </c>
      <c r="J120" s="190">
        <v>2</v>
      </c>
      <c r="K120" s="191">
        <v>3</v>
      </c>
      <c r="L120" s="192">
        <v>9</v>
      </c>
      <c r="M120" s="185">
        <f t="shared" si="34"/>
        <v>1</v>
      </c>
      <c r="N120" s="193" t="s">
        <v>221</v>
      </c>
      <c r="O120" s="194" t="s">
        <v>903</v>
      </c>
      <c r="P120" s="195">
        <f t="shared" si="35"/>
        <v>1</v>
      </c>
      <c r="Q120" s="196">
        <f t="shared" si="40"/>
        <v>200000000</v>
      </c>
      <c r="R120" s="196">
        <f t="shared" si="41"/>
        <v>200000000</v>
      </c>
      <c r="S120" s="197" t="s">
        <v>217</v>
      </c>
      <c r="T120" s="193">
        <f t="shared" si="36"/>
        <v>0</v>
      </c>
      <c r="U120" s="198" t="str">
        <f t="shared" si="39"/>
        <v>SUBDIRECCION DE GESTION CONTRACTUAL</v>
      </c>
      <c r="V120" s="185" t="str">
        <f t="shared" si="37"/>
        <v>CO-DC</v>
      </c>
      <c r="W120" s="198" t="str">
        <f t="shared" si="38"/>
        <v>Distrito Capital de Bogotá</v>
      </c>
      <c r="X120" s="199" t="s">
        <v>69</v>
      </c>
      <c r="Y120" s="185">
        <v>2427401</v>
      </c>
      <c r="Z120" s="200" t="s">
        <v>70</v>
      </c>
    </row>
    <row r="121" spans="1:26" s="7" customFormat="1" ht="12.75" customHeight="1" x14ac:dyDescent="0.2">
      <c r="A121" s="184" t="s">
        <v>67</v>
      </c>
      <c r="B121" s="185">
        <v>16</v>
      </c>
      <c r="C121" s="186" t="s">
        <v>270</v>
      </c>
      <c r="D121" s="186" t="s">
        <v>71</v>
      </c>
      <c r="E121" s="187"/>
      <c r="F121" s="187">
        <v>500000000</v>
      </c>
      <c r="G121" s="187"/>
      <c r="H121" s="188" t="s">
        <v>710</v>
      </c>
      <c r="I121" s="189" t="s">
        <v>541</v>
      </c>
      <c r="J121" s="190">
        <v>2</v>
      </c>
      <c r="K121" s="191">
        <v>3</v>
      </c>
      <c r="L121" s="192">
        <v>9</v>
      </c>
      <c r="M121" s="185">
        <f t="shared" si="34"/>
        <v>1</v>
      </c>
      <c r="N121" s="193" t="s">
        <v>221</v>
      </c>
      <c r="O121" s="194" t="s">
        <v>903</v>
      </c>
      <c r="P121" s="195">
        <f t="shared" si="35"/>
        <v>1</v>
      </c>
      <c r="Q121" s="196">
        <f t="shared" si="40"/>
        <v>500000000</v>
      </c>
      <c r="R121" s="196">
        <f t="shared" si="41"/>
        <v>500000000</v>
      </c>
      <c r="S121" s="197" t="s">
        <v>217</v>
      </c>
      <c r="T121" s="193">
        <f t="shared" si="36"/>
        <v>0</v>
      </c>
      <c r="U121" s="198" t="str">
        <f t="shared" si="39"/>
        <v>SUBDIRECCION DE GESTION CONTRACTUAL</v>
      </c>
      <c r="V121" s="185" t="str">
        <f t="shared" si="37"/>
        <v>CO-DC</v>
      </c>
      <c r="W121" s="198" t="str">
        <f t="shared" si="38"/>
        <v>Distrito Capital de Bogotá</v>
      </c>
      <c r="X121" s="199" t="s">
        <v>69</v>
      </c>
      <c r="Y121" s="185">
        <v>2427401</v>
      </c>
      <c r="Z121" s="200" t="s">
        <v>70</v>
      </c>
    </row>
    <row r="122" spans="1:26" s="7" customFormat="1" ht="12.75" customHeight="1" x14ac:dyDescent="0.2">
      <c r="A122" s="184" t="s">
        <v>67</v>
      </c>
      <c r="B122" s="185">
        <v>17</v>
      </c>
      <c r="C122" s="186" t="s">
        <v>257</v>
      </c>
      <c r="D122" s="186" t="s">
        <v>271</v>
      </c>
      <c r="E122" s="187"/>
      <c r="F122" s="187">
        <v>8562300000</v>
      </c>
      <c r="G122" s="187"/>
      <c r="H122" s="188" t="s">
        <v>68</v>
      </c>
      <c r="I122" s="203" t="s">
        <v>1021</v>
      </c>
      <c r="J122" s="201">
        <v>8</v>
      </c>
      <c r="K122" s="201">
        <v>9</v>
      </c>
      <c r="L122" s="201">
        <v>3</v>
      </c>
      <c r="M122" s="185">
        <f t="shared" si="34"/>
        <v>1</v>
      </c>
      <c r="N122" s="193" t="s">
        <v>36</v>
      </c>
      <c r="O122" s="194" t="s">
        <v>256</v>
      </c>
      <c r="P122" s="195">
        <f t="shared" si="35"/>
        <v>1</v>
      </c>
      <c r="Q122" s="196">
        <f t="shared" si="40"/>
        <v>8562300000</v>
      </c>
      <c r="R122" s="196">
        <f t="shared" si="41"/>
        <v>8562300000</v>
      </c>
      <c r="S122" s="197" t="s">
        <v>217</v>
      </c>
      <c r="T122" s="193">
        <f t="shared" si="36"/>
        <v>0</v>
      </c>
      <c r="U122" s="198" t="str">
        <f t="shared" si="39"/>
        <v>SUBDIRECCION DE GESTION CONTRACTUAL</v>
      </c>
      <c r="V122" s="185" t="str">
        <f t="shared" si="37"/>
        <v>CO-DC</v>
      </c>
      <c r="W122" s="198" t="str">
        <f t="shared" si="38"/>
        <v>Distrito Capital de Bogotá</v>
      </c>
      <c r="X122" s="199" t="s">
        <v>69</v>
      </c>
      <c r="Y122" s="185">
        <v>2427401</v>
      </c>
      <c r="Z122" s="200" t="s">
        <v>70</v>
      </c>
    </row>
    <row r="123" spans="1:26" s="7" customFormat="1" ht="12.75" customHeight="1" x14ac:dyDescent="0.2">
      <c r="A123" s="184" t="s">
        <v>67</v>
      </c>
      <c r="B123" s="185">
        <v>18</v>
      </c>
      <c r="C123" s="186" t="s">
        <v>272</v>
      </c>
      <c r="D123" s="186" t="s">
        <v>273</v>
      </c>
      <c r="E123" s="187"/>
      <c r="F123" s="187">
        <v>7011100000</v>
      </c>
      <c r="G123" s="187"/>
      <c r="H123" s="188" t="s">
        <v>68</v>
      </c>
      <c r="I123" s="189" t="s">
        <v>280</v>
      </c>
      <c r="J123" s="201">
        <v>8</v>
      </c>
      <c r="K123" s="201">
        <v>9</v>
      </c>
      <c r="L123" s="201">
        <v>3</v>
      </c>
      <c r="M123" s="185">
        <f t="shared" si="34"/>
        <v>1</v>
      </c>
      <c r="N123" s="193" t="s">
        <v>36</v>
      </c>
      <c r="O123" s="194" t="s">
        <v>256</v>
      </c>
      <c r="P123" s="195">
        <f t="shared" si="35"/>
        <v>1</v>
      </c>
      <c r="Q123" s="196">
        <f t="shared" si="40"/>
        <v>7011100000</v>
      </c>
      <c r="R123" s="196">
        <f t="shared" si="41"/>
        <v>7011100000</v>
      </c>
      <c r="S123" s="197" t="s">
        <v>217</v>
      </c>
      <c r="T123" s="193">
        <f t="shared" si="36"/>
        <v>0</v>
      </c>
      <c r="U123" s="198" t="str">
        <f t="shared" si="39"/>
        <v>SUBDIRECCION DE GESTION CONTRACTUAL</v>
      </c>
      <c r="V123" s="185" t="str">
        <f t="shared" si="37"/>
        <v>CO-DC</v>
      </c>
      <c r="W123" s="198" t="str">
        <f t="shared" si="38"/>
        <v>Distrito Capital de Bogotá</v>
      </c>
      <c r="X123" s="199" t="s">
        <v>69</v>
      </c>
      <c r="Y123" s="185">
        <v>2427401</v>
      </c>
      <c r="Z123" s="200" t="s">
        <v>70</v>
      </c>
    </row>
    <row r="124" spans="1:26" s="7" customFormat="1" ht="12.75" customHeight="1" x14ac:dyDescent="0.2">
      <c r="A124" s="184" t="s">
        <v>67</v>
      </c>
      <c r="B124" s="185">
        <v>19</v>
      </c>
      <c r="C124" s="186" t="s">
        <v>257</v>
      </c>
      <c r="D124" s="186" t="s">
        <v>281</v>
      </c>
      <c r="E124" s="187"/>
      <c r="F124" s="187">
        <f>7950000000-2000000000-2500000000+1450000000-2000000000</f>
        <v>2900000000</v>
      </c>
      <c r="G124" s="187"/>
      <c r="H124" s="188" t="s">
        <v>68</v>
      </c>
      <c r="I124" s="189" t="s">
        <v>278</v>
      </c>
      <c r="J124" s="201">
        <v>8</v>
      </c>
      <c r="K124" s="201">
        <v>9</v>
      </c>
      <c r="L124" s="201">
        <v>3</v>
      </c>
      <c r="M124" s="185">
        <f t="shared" si="34"/>
        <v>1</v>
      </c>
      <c r="N124" s="193" t="s">
        <v>36</v>
      </c>
      <c r="O124" s="194" t="s">
        <v>256</v>
      </c>
      <c r="P124" s="195">
        <f t="shared" si="35"/>
        <v>1</v>
      </c>
      <c r="Q124" s="196">
        <f t="shared" si="40"/>
        <v>2900000000</v>
      </c>
      <c r="R124" s="196">
        <f t="shared" si="41"/>
        <v>2900000000</v>
      </c>
      <c r="S124" s="197" t="s">
        <v>217</v>
      </c>
      <c r="T124" s="193">
        <f t="shared" si="36"/>
        <v>0</v>
      </c>
      <c r="U124" s="198" t="str">
        <f t="shared" si="39"/>
        <v>SUBDIRECCION DE GESTION CONTRACTUAL</v>
      </c>
      <c r="V124" s="185" t="str">
        <f t="shared" si="37"/>
        <v>CO-DC</v>
      </c>
      <c r="W124" s="198" t="str">
        <f t="shared" si="38"/>
        <v>Distrito Capital de Bogotá</v>
      </c>
      <c r="X124" s="199" t="s">
        <v>69</v>
      </c>
      <c r="Y124" s="185">
        <v>2427401</v>
      </c>
      <c r="Z124" s="200" t="s">
        <v>70</v>
      </c>
    </row>
    <row r="125" spans="1:26" s="7" customFormat="1" ht="12.75" customHeight="1" x14ac:dyDescent="0.2">
      <c r="A125" s="184" t="s">
        <v>67</v>
      </c>
      <c r="B125" s="185">
        <v>20</v>
      </c>
      <c r="C125" s="186" t="s">
        <v>258</v>
      </c>
      <c r="D125" s="186" t="s">
        <v>281</v>
      </c>
      <c r="E125" s="187"/>
      <c r="F125" s="187">
        <f>4750000000-4650000000+2500000000-1450000000</f>
        <v>1150000000</v>
      </c>
      <c r="G125" s="187"/>
      <c r="H125" s="188" t="s">
        <v>68</v>
      </c>
      <c r="I125" s="189" t="s">
        <v>278</v>
      </c>
      <c r="J125" s="201">
        <v>8</v>
      </c>
      <c r="K125" s="201">
        <v>9</v>
      </c>
      <c r="L125" s="201">
        <v>3</v>
      </c>
      <c r="M125" s="185">
        <f t="shared" si="34"/>
        <v>1</v>
      </c>
      <c r="N125" s="193" t="s">
        <v>36</v>
      </c>
      <c r="O125" s="194" t="s">
        <v>256</v>
      </c>
      <c r="P125" s="195">
        <f t="shared" si="35"/>
        <v>1</v>
      </c>
      <c r="Q125" s="196">
        <f t="shared" si="40"/>
        <v>1150000000</v>
      </c>
      <c r="R125" s="196">
        <f t="shared" si="41"/>
        <v>1150000000</v>
      </c>
      <c r="S125" s="197" t="s">
        <v>217</v>
      </c>
      <c r="T125" s="193">
        <f t="shared" si="36"/>
        <v>0</v>
      </c>
      <c r="U125" s="198" t="str">
        <f t="shared" si="39"/>
        <v>SUBDIRECCION DE GESTION CONTRACTUAL</v>
      </c>
      <c r="V125" s="185" t="str">
        <f t="shared" si="37"/>
        <v>CO-DC</v>
      </c>
      <c r="W125" s="198" t="str">
        <f t="shared" si="38"/>
        <v>Distrito Capital de Bogotá</v>
      </c>
      <c r="X125" s="199" t="s">
        <v>69</v>
      </c>
      <c r="Y125" s="185">
        <v>2427401</v>
      </c>
      <c r="Z125" s="200" t="s">
        <v>70</v>
      </c>
    </row>
    <row r="126" spans="1:26" s="7" customFormat="1" ht="12.75" customHeight="1" x14ac:dyDescent="0.2">
      <c r="A126" s="184" t="s">
        <v>67</v>
      </c>
      <c r="B126" s="185">
        <v>21</v>
      </c>
      <c r="C126" s="186" t="s">
        <v>259</v>
      </c>
      <c r="D126" s="186" t="s">
        <v>282</v>
      </c>
      <c r="E126" s="187"/>
      <c r="F126" s="187">
        <v>800000000</v>
      </c>
      <c r="G126" s="187"/>
      <c r="H126" s="188" t="s">
        <v>710</v>
      </c>
      <c r="I126" s="189" t="s">
        <v>541</v>
      </c>
      <c r="J126" s="190">
        <v>2</v>
      </c>
      <c r="K126" s="191">
        <v>3</v>
      </c>
      <c r="L126" s="192">
        <v>9</v>
      </c>
      <c r="M126" s="185">
        <f t="shared" si="34"/>
        <v>1</v>
      </c>
      <c r="N126" s="193" t="s">
        <v>221</v>
      </c>
      <c r="O126" s="194" t="s">
        <v>903</v>
      </c>
      <c r="P126" s="195">
        <f t="shared" si="35"/>
        <v>1</v>
      </c>
      <c r="Q126" s="196">
        <f t="shared" si="40"/>
        <v>800000000</v>
      </c>
      <c r="R126" s="196">
        <f t="shared" si="41"/>
        <v>800000000</v>
      </c>
      <c r="S126" s="197" t="s">
        <v>217</v>
      </c>
      <c r="T126" s="193">
        <f t="shared" si="36"/>
        <v>0</v>
      </c>
      <c r="U126" s="198" t="str">
        <f t="shared" si="39"/>
        <v>SUBDIRECCION DE GESTION CONTRACTUAL</v>
      </c>
      <c r="V126" s="185" t="str">
        <f t="shared" si="37"/>
        <v>CO-DC</v>
      </c>
      <c r="W126" s="198" t="str">
        <f t="shared" si="38"/>
        <v>Distrito Capital de Bogotá</v>
      </c>
      <c r="X126" s="199" t="s">
        <v>69</v>
      </c>
      <c r="Y126" s="185">
        <v>2427401</v>
      </c>
      <c r="Z126" s="200" t="s">
        <v>70</v>
      </c>
    </row>
    <row r="127" spans="1:26" s="7" customFormat="1" ht="12.75" customHeight="1" x14ac:dyDescent="0.2">
      <c r="A127" s="184" t="s">
        <v>67</v>
      </c>
      <c r="B127" s="185">
        <v>22</v>
      </c>
      <c r="C127" s="186" t="s">
        <v>274</v>
      </c>
      <c r="D127" s="186" t="s">
        <v>281</v>
      </c>
      <c r="E127" s="187"/>
      <c r="F127" s="187">
        <f>25000000000-5000000000</f>
        <v>20000000000</v>
      </c>
      <c r="G127" s="187"/>
      <c r="H127" s="188" t="s">
        <v>68</v>
      </c>
      <c r="I127" s="189" t="s">
        <v>283</v>
      </c>
      <c r="J127" s="201">
        <v>8</v>
      </c>
      <c r="K127" s="201">
        <v>9</v>
      </c>
      <c r="L127" s="201">
        <v>3</v>
      </c>
      <c r="M127" s="185">
        <f t="shared" si="34"/>
        <v>1</v>
      </c>
      <c r="N127" s="193" t="s">
        <v>36</v>
      </c>
      <c r="O127" s="194" t="s">
        <v>256</v>
      </c>
      <c r="P127" s="195">
        <f t="shared" si="35"/>
        <v>1</v>
      </c>
      <c r="Q127" s="196">
        <f t="shared" si="40"/>
        <v>20000000000</v>
      </c>
      <c r="R127" s="196">
        <f t="shared" si="41"/>
        <v>20000000000</v>
      </c>
      <c r="S127" s="197" t="s">
        <v>217</v>
      </c>
      <c r="T127" s="193">
        <f t="shared" si="36"/>
        <v>0</v>
      </c>
      <c r="U127" s="198" t="str">
        <f t="shared" si="39"/>
        <v>SUBDIRECCION DE GESTION CONTRACTUAL</v>
      </c>
      <c r="V127" s="185" t="str">
        <f t="shared" si="37"/>
        <v>CO-DC</v>
      </c>
      <c r="W127" s="198" t="str">
        <f t="shared" si="38"/>
        <v>Distrito Capital de Bogotá</v>
      </c>
      <c r="X127" s="199" t="s">
        <v>69</v>
      </c>
      <c r="Y127" s="185">
        <v>2427401</v>
      </c>
      <c r="Z127" s="200" t="s">
        <v>70</v>
      </c>
    </row>
    <row r="128" spans="1:26" s="7" customFormat="1" ht="12.75" customHeight="1" x14ac:dyDescent="0.2">
      <c r="A128" s="184" t="s">
        <v>67</v>
      </c>
      <c r="B128" s="185">
        <v>23</v>
      </c>
      <c r="C128" s="251" t="s">
        <v>836</v>
      </c>
      <c r="D128" s="186" t="s">
        <v>281</v>
      </c>
      <c r="E128" s="187"/>
      <c r="F128" s="187">
        <v>8000000000</v>
      </c>
      <c r="G128" s="187"/>
      <c r="H128" s="188" t="s">
        <v>710</v>
      </c>
      <c r="I128" s="189" t="s">
        <v>541</v>
      </c>
      <c r="J128" s="190">
        <v>2</v>
      </c>
      <c r="K128" s="191">
        <v>3</v>
      </c>
      <c r="L128" s="192">
        <v>9</v>
      </c>
      <c r="M128" s="185">
        <f t="shared" si="34"/>
        <v>1</v>
      </c>
      <c r="N128" s="193" t="s">
        <v>221</v>
      </c>
      <c r="O128" s="194" t="s">
        <v>903</v>
      </c>
      <c r="P128" s="195">
        <f t="shared" si="35"/>
        <v>1</v>
      </c>
      <c r="Q128" s="196">
        <f t="shared" si="40"/>
        <v>8000000000</v>
      </c>
      <c r="R128" s="196">
        <f t="shared" si="41"/>
        <v>8000000000</v>
      </c>
      <c r="S128" s="197" t="s">
        <v>217</v>
      </c>
      <c r="T128" s="193">
        <f t="shared" si="36"/>
        <v>0</v>
      </c>
      <c r="U128" s="198" t="str">
        <f t="shared" si="39"/>
        <v>SUBDIRECCION DE GESTION CONTRACTUAL</v>
      </c>
      <c r="V128" s="185" t="str">
        <f t="shared" si="37"/>
        <v>CO-DC</v>
      </c>
      <c r="W128" s="198" t="str">
        <f t="shared" si="38"/>
        <v>Distrito Capital de Bogotá</v>
      </c>
      <c r="X128" s="199" t="s">
        <v>69</v>
      </c>
      <c r="Y128" s="185">
        <v>2427401</v>
      </c>
      <c r="Z128" s="200" t="s">
        <v>70</v>
      </c>
    </row>
    <row r="129" spans="1:26" s="7" customFormat="1" ht="12.75" customHeight="1" x14ac:dyDescent="0.2">
      <c r="A129" s="184" t="s">
        <v>67</v>
      </c>
      <c r="B129" s="185">
        <v>24</v>
      </c>
      <c r="C129" s="186" t="s">
        <v>275</v>
      </c>
      <c r="D129" s="186" t="s">
        <v>78</v>
      </c>
      <c r="E129" s="187"/>
      <c r="F129" s="187">
        <f>40500000000-2000000000</f>
        <v>38500000000</v>
      </c>
      <c r="G129" s="187"/>
      <c r="H129" s="188" t="s">
        <v>68</v>
      </c>
      <c r="I129" s="252" t="s">
        <v>967</v>
      </c>
      <c r="J129" s="201">
        <v>8</v>
      </c>
      <c r="K129" s="201">
        <v>9</v>
      </c>
      <c r="L129" s="201">
        <v>3</v>
      </c>
      <c r="M129" s="185">
        <v>1</v>
      </c>
      <c r="N129" s="193" t="s">
        <v>36</v>
      </c>
      <c r="O129" s="194" t="s">
        <v>256</v>
      </c>
      <c r="P129" s="195">
        <f t="shared" si="35"/>
        <v>1</v>
      </c>
      <c r="Q129" s="196">
        <f t="shared" si="40"/>
        <v>38500000000</v>
      </c>
      <c r="R129" s="196">
        <f t="shared" si="41"/>
        <v>38500000000</v>
      </c>
      <c r="S129" s="197" t="s">
        <v>217</v>
      </c>
      <c r="T129" s="193">
        <f t="shared" si="36"/>
        <v>0</v>
      </c>
      <c r="U129" s="198" t="str">
        <f t="shared" si="39"/>
        <v>SUBDIRECCION DE GESTION CONTRACTUAL</v>
      </c>
      <c r="V129" s="185" t="str">
        <f t="shared" si="37"/>
        <v>CO-DC</v>
      </c>
      <c r="W129" s="198" t="str">
        <f t="shared" si="38"/>
        <v>Distrito Capital de Bogotá</v>
      </c>
      <c r="X129" s="199" t="s">
        <v>69</v>
      </c>
      <c r="Y129" s="185">
        <v>2427401</v>
      </c>
      <c r="Z129" s="200" t="s">
        <v>70</v>
      </c>
    </row>
    <row r="130" spans="1:26" s="7" customFormat="1" ht="12.75" customHeight="1" x14ac:dyDescent="0.2">
      <c r="A130" s="184" t="s">
        <v>67</v>
      </c>
      <c r="B130" s="185">
        <v>25</v>
      </c>
      <c r="C130" s="186" t="s">
        <v>276</v>
      </c>
      <c r="D130" s="186" t="s">
        <v>284</v>
      </c>
      <c r="E130" s="187"/>
      <c r="F130" s="187">
        <v>20000000000</v>
      </c>
      <c r="G130" s="187"/>
      <c r="H130" s="188" t="s">
        <v>68</v>
      </c>
      <c r="I130" s="203" t="s">
        <v>972</v>
      </c>
      <c r="J130" s="201">
        <v>8</v>
      </c>
      <c r="K130" s="201">
        <v>9</v>
      </c>
      <c r="L130" s="201">
        <v>3</v>
      </c>
      <c r="M130" s="185">
        <f t="shared" ref="M130:M150" si="42">IF(ISBLANK(J130),"",1)</f>
        <v>1</v>
      </c>
      <c r="N130" s="193" t="s">
        <v>36</v>
      </c>
      <c r="O130" s="194" t="s">
        <v>256</v>
      </c>
      <c r="P130" s="195">
        <f t="shared" si="35"/>
        <v>1</v>
      </c>
      <c r="Q130" s="196">
        <f t="shared" si="40"/>
        <v>20000000000</v>
      </c>
      <c r="R130" s="196">
        <f t="shared" si="41"/>
        <v>20000000000</v>
      </c>
      <c r="S130" s="197" t="s">
        <v>217</v>
      </c>
      <c r="T130" s="193">
        <f t="shared" si="36"/>
        <v>0</v>
      </c>
      <c r="U130" s="198" t="str">
        <f t="shared" si="39"/>
        <v>SUBDIRECCION DE GESTION CONTRACTUAL</v>
      </c>
      <c r="V130" s="185" t="str">
        <f t="shared" si="37"/>
        <v>CO-DC</v>
      </c>
      <c r="W130" s="198" t="str">
        <f t="shared" si="38"/>
        <v>Distrito Capital de Bogotá</v>
      </c>
      <c r="X130" s="199" t="s">
        <v>69</v>
      </c>
      <c r="Y130" s="185">
        <v>2427401</v>
      </c>
      <c r="Z130" s="200" t="s">
        <v>70</v>
      </c>
    </row>
    <row r="131" spans="1:26" s="7" customFormat="1" ht="12.75" customHeight="1" x14ac:dyDescent="0.2">
      <c r="A131" s="184" t="s">
        <v>67</v>
      </c>
      <c r="B131" s="185">
        <v>26</v>
      </c>
      <c r="C131" s="186" t="s">
        <v>261</v>
      </c>
      <c r="D131" s="186" t="s">
        <v>71</v>
      </c>
      <c r="E131" s="187"/>
      <c r="F131" s="187">
        <f>7796660558-1500000000-1790202897-1600000000-63157661-2805470637</f>
        <v>37829363</v>
      </c>
      <c r="G131" s="187"/>
      <c r="H131" s="202" t="s">
        <v>1008</v>
      </c>
      <c r="I131" s="203" t="s">
        <v>1009</v>
      </c>
      <c r="J131" s="202">
        <v>2</v>
      </c>
      <c r="K131" s="202">
        <v>3</v>
      </c>
      <c r="L131" s="202">
        <v>9</v>
      </c>
      <c r="M131" s="185">
        <f t="shared" si="42"/>
        <v>1</v>
      </c>
      <c r="N131" s="193" t="s">
        <v>221</v>
      </c>
      <c r="O131" s="194" t="s">
        <v>903</v>
      </c>
      <c r="P131" s="195">
        <f t="shared" si="35"/>
        <v>1</v>
      </c>
      <c r="Q131" s="196">
        <f t="shared" si="40"/>
        <v>37829363</v>
      </c>
      <c r="R131" s="196">
        <f t="shared" si="41"/>
        <v>37829363</v>
      </c>
      <c r="S131" s="197" t="s">
        <v>217</v>
      </c>
      <c r="T131" s="193">
        <f t="shared" si="36"/>
        <v>0</v>
      </c>
      <c r="U131" s="198" t="str">
        <f t="shared" si="39"/>
        <v>SUBDIRECCION DE GESTION CONTRACTUAL</v>
      </c>
      <c r="V131" s="185" t="str">
        <f t="shared" si="37"/>
        <v>CO-DC</v>
      </c>
      <c r="W131" s="198" t="str">
        <f t="shared" si="38"/>
        <v>Distrito Capital de Bogotá</v>
      </c>
      <c r="X131" s="199" t="s">
        <v>69</v>
      </c>
      <c r="Y131" s="185">
        <v>2427401</v>
      </c>
      <c r="Z131" s="200" t="s">
        <v>70</v>
      </c>
    </row>
    <row r="132" spans="1:26" s="7" customFormat="1" ht="12.75" customHeight="1" x14ac:dyDescent="0.2">
      <c r="A132" s="184" t="s">
        <v>67</v>
      </c>
      <c r="B132" s="185">
        <v>27</v>
      </c>
      <c r="C132" s="186" t="s">
        <v>275</v>
      </c>
      <c r="D132" s="186" t="s">
        <v>78</v>
      </c>
      <c r="E132" s="187"/>
      <c r="F132" s="187">
        <v>2000000000</v>
      </c>
      <c r="G132" s="187"/>
      <c r="H132" s="188" t="s">
        <v>68</v>
      </c>
      <c r="I132" s="189" t="s">
        <v>777</v>
      </c>
      <c r="J132" s="190">
        <v>5</v>
      </c>
      <c r="K132" s="192">
        <v>6</v>
      </c>
      <c r="L132" s="192">
        <v>6</v>
      </c>
      <c r="M132" s="185">
        <f t="shared" si="42"/>
        <v>1</v>
      </c>
      <c r="N132" s="193" t="s">
        <v>36</v>
      </c>
      <c r="O132" s="194" t="s">
        <v>256</v>
      </c>
      <c r="P132" s="195">
        <f t="shared" si="35"/>
        <v>1</v>
      </c>
      <c r="Q132" s="196">
        <f t="shared" ref="Q132:Q160" si="43">IF(VALUE(E132+F132+G132)=0,"",E132+F132+G132)</f>
        <v>2000000000</v>
      </c>
      <c r="R132" s="196">
        <f t="shared" ref="R132:R160" si="44">IF(VALUE(F132)=0,"",F132)</f>
        <v>2000000000</v>
      </c>
      <c r="S132" s="197" t="s">
        <v>217</v>
      </c>
      <c r="T132" s="193">
        <f t="shared" si="36"/>
        <v>0</v>
      </c>
      <c r="U132" s="198" t="str">
        <f t="shared" si="39"/>
        <v>SUBDIRECCION DE GESTION CONTRACTUAL</v>
      </c>
      <c r="V132" s="185" t="str">
        <f t="shared" si="37"/>
        <v>CO-DC</v>
      </c>
      <c r="W132" s="198" t="str">
        <f t="shared" si="38"/>
        <v>Distrito Capital de Bogotá</v>
      </c>
      <c r="X132" s="199" t="s">
        <v>69</v>
      </c>
      <c r="Y132" s="185">
        <v>2427401</v>
      </c>
      <c r="Z132" s="200" t="s">
        <v>70</v>
      </c>
    </row>
    <row r="133" spans="1:26" s="7" customFormat="1" ht="12.75" customHeight="1" x14ac:dyDescent="0.2">
      <c r="A133" s="184" t="s">
        <v>67</v>
      </c>
      <c r="B133" s="185">
        <v>28</v>
      </c>
      <c r="C133" s="186" t="s">
        <v>257</v>
      </c>
      <c r="D133" s="186" t="s">
        <v>71</v>
      </c>
      <c r="E133" s="187"/>
      <c r="F133" s="187">
        <f>200000000+300000000</f>
        <v>500000000</v>
      </c>
      <c r="G133" s="187"/>
      <c r="H133" s="188" t="s">
        <v>68</v>
      </c>
      <c r="I133" s="189" t="s">
        <v>866</v>
      </c>
      <c r="J133" s="201">
        <v>8</v>
      </c>
      <c r="K133" s="201">
        <v>9</v>
      </c>
      <c r="L133" s="201">
        <v>4</v>
      </c>
      <c r="M133" s="185">
        <f t="shared" si="42"/>
        <v>1</v>
      </c>
      <c r="N133" s="193" t="s">
        <v>36</v>
      </c>
      <c r="O133" s="194" t="s">
        <v>256</v>
      </c>
      <c r="P133" s="195">
        <f t="shared" si="35"/>
        <v>1</v>
      </c>
      <c r="Q133" s="196">
        <f t="shared" si="43"/>
        <v>500000000</v>
      </c>
      <c r="R133" s="196">
        <f t="shared" si="44"/>
        <v>500000000</v>
      </c>
      <c r="S133" s="197" t="s">
        <v>217</v>
      </c>
      <c r="T133" s="193">
        <f t="shared" si="36"/>
        <v>0</v>
      </c>
      <c r="U133" s="198" t="str">
        <f t="shared" si="39"/>
        <v>SUBDIRECCION DE GESTION CONTRACTUAL</v>
      </c>
      <c r="V133" s="185" t="str">
        <f t="shared" si="37"/>
        <v>CO-DC</v>
      </c>
      <c r="W133" s="198" t="str">
        <f t="shared" si="38"/>
        <v>Distrito Capital de Bogotá</v>
      </c>
      <c r="X133" s="199" t="s">
        <v>69</v>
      </c>
      <c r="Y133" s="185">
        <v>2427401</v>
      </c>
      <c r="Z133" s="200" t="s">
        <v>70</v>
      </c>
    </row>
    <row r="134" spans="1:26" s="7" customFormat="1" ht="12.75" customHeight="1" x14ac:dyDescent="0.2">
      <c r="A134" s="184" t="s">
        <v>67</v>
      </c>
      <c r="B134" s="185">
        <v>29</v>
      </c>
      <c r="C134" s="186" t="s">
        <v>257</v>
      </c>
      <c r="D134" s="186" t="s">
        <v>71</v>
      </c>
      <c r="E134" s="187"/>
      <c r="F134" s="187">
        <v>2400000000</v>
      </c>
      <c r="G134" s="189"/>
      <c r="H134" s="188" t="s">
        <v>72</v>
      </c>
      <c r="I134" s="189" t="s">
        <v>830</v>
      </c>
      <c r="J134" s="190">
        <v>5</v>
      </c>
      <c r="K134" s="192">
        <v>6</v>
      </c>
      <c r="L134" s="192">
        <v>6</v>
      </c>
      <c r="M134" s="195">
        <f t="shared" si="42"/>
        <v>1</v>
      </c>
      <c r="N134" s="195" t="s">
        <v>36</v>
      </c>
      <c r="O134" s="253" t="s">
        <v>256</v>
      </c>
      <c r="P134" s="254">
        <f t="shared" si="35"/>
        <v>1</v>
      </c>
      <c r="Q134" s="196">
        <f t="shared" si="43"/>
        <v>2400000000</v>
      </c>
      <c r="R134" s="196">
        <f t="shared" si="44"/>
        <v>2400000000</v>
      </c>
      <c r="S134" s="185" t="s">
        <v>217</v>
      </c>
      <c r="T134" s="185">
        <f t="shared" si="36"/>
        <v>0</v>
      </c>
      <c r="U134" s="198" t="str">
        <f t="shared" si="39"/>
        <v>SUBDIRECCION DE GESTION CONTRACTUAL</v>
      </c>
      <c r="V134" s="185" t="str">
        <f t="shared" si="37"/>
        <v>CO-DC</v>
      </c>
      <c r="W134" s="185" t="str">
        <f t="shared" si="38"/>
        <v>Distrito Capital de Bogotá</v>
      </c>
      <c r="X134" s="199" t="s">
        <v>69</v>
      </c>
      <c r="Y134" s="185">
        <v>2427401</v>
      </c>
      <c r="Z134" s="255" t="s">
        <v>70</v>
      </c>
    </row>
    <row r="135" spans="1:26" s="7" customFormat="1" ht="12.75" customHeight="1" x14ac:dyDescent="0.2">
      <c r="A135" s="184" t="s">
        <v>67</v>
      </c>
      <c r="B135" s="185">
        <v>30</v>
      </c>
      <c r="C135" s="186" t="s">
        <v>257</v>
      </c>
      <c r="D135" s="186" t="s">
        <v>71</v>
      </c>
      <c r="E135" s="187"/>
      <c r="F135" s="187">
        <v>500000000</v>
      </c>
      <c r="G135" s="189"/>
      <c r="H135" s="188" t="s">
        <v>68</v>
      </c>
      <c r="I135" s="189" t="s">
        <v>919</v>
      </c>
      <c r="J135" s="201">
        <v>8</v>
      </c>
      <c r="K135" s="201">
        <v>9</v>
      </c>
      <c r="L135" s="201">
        <v>4</v>
      </c>
      <c r="M135" s="195">
        <f t="shared" si="42"/>
        <v>1</v>
      </c>
      <c r="N135" s="195" t="s">
        <v>36</v>
      </c>
      <c r="O135" s="253" t="s">
        <v>256</v>
      </c>
      <c r="P135" s="254">
        <f t="shared" ref="P135:P156" si="45">IF(ISBLANK(N135),"",1)</f>
        <v>1</v>
      </c>
      <c r="Q135" s="196">
        <f t="shared" si="43"/>
        <v>500000000</v>
      </c>
      <c r="R135" s="196">
        <f t="shared" si="44"/>
        <v>500000000</v>
      </c>
      <c r="S135" s="185" t="s">
        <v>217</v>
      </c>
      <c r="T135" s="185">
        <f t="shared" ref="T135:T156" si="46">IF(ISBLANK(S135),"",IF(VALUE(S135)=0,0,IF(VALUE(S135)=1,3,"")))</f>
        <v>0</v>
      </c>
      <c r="U135" s="198" t="str">
        <f t="shared" si="39"/>
        <v>SUBDIRECCION DE GESTION CONTRACTUAL</v>
      </c>
      <c r="V135" s="185" t="str">
        <f t="shared" ref="V135:V156" si="47">IF(ISBLANK(N135),"","CO-DC")</f>
        <v>CO-DC</v>
      </c>
      <c r="W135" s="185" t="str">
        <f t="shared" ref="W135:W156" si="48">IF(ISBLANK(N135),"","Distrito Capital de Bogotá")</f>
        <v>Distrito Capital de Bogotá</v>
      </c>
      <c r="X135" s="199" t="s">
        <v>69</v>
      </c>
      <c r="Y135" s="185">
        <v>2427401</v>
      </c>
      <c r="Z135" s="255" t="s">
        <v>70</v>
      </c>
    </row>
    <row r="136" spans="1:26" s="7" customFormat="1" ht="12.75" customHeight="1" x14ac:dyDescent="0.2">
      <c r="A136" s="184" t="s">
        <v>67</v>
      </c>
      <c r="B136" s="185">
        <v>31</v>
      </c>
      <c r="C136" s="186" t="s">
        <v>261</v>
      </c>
      <c r="D136" s="186" t="s">
        <v>71</v>
      </c>
      <c r="E136" s="187"/>
      <c r="F136" s="187">
        <f>21469797103-1360000000</f>
        <v>20109797103</v>
      </c>
      <c r="G136" s="189"/>
      <c r="H136" s="202" t="s">
        <v>72</v>
      </c>
      <c r="I136" s="203" t="s">
        <v>830</v>
      </c>
      <c r="J136" s="190">
        <v>5</v>
      </c>
      <c r="K136" s="192">
        <v>6</v>
      </c>
      <c r="L136" s="192">
        <v>6</v>
      </c>
      <c r="M136" s="195">
        <f t="shared" si="42"/>
        <v>1</v>
      </c>
      <c r="N136" s="195" t="s">
        <v>36</v>
      </c>
      <c r="O136" s="253" t="s">
        <v>256</v>
      </c>
      <c r="P136" s="254">
        <f t="shared" si="45"/>
        <v>1</v>
      </c>
      <c r="Q136" s="196">
        <f t="shared" si="43"/>
        <v>20109797103</v>
      </c>
      <c r="R136" s="196">
        <f t="shared" si="44"/>
        <v>20109797103</v>
      </c>
      <c r="S136" s="185" t="s">
        <v>217</v>
      </c>
      <c r="T136" s="185">
        <f t="shared" si="46"/>
        <v>0</v>
      </c>
      <c r="U136" s="198" t="str">
        <f t="shared" si="39"/>
        <v>SUBDIRECCION DE GESTION CONTRACTUAL</v>
      </c>
      <c r="V136" s="185" t="str">
        <f t="shared" si="47"/>
        <v>CO-DC</v>
      </c>
      <c r="W136" s="185" t="str">
        <f t="shared" si="48"/>
        <v>Distrito Capital de Bogotá</v>
      </c>
      <c r="X136" s="199" t="s">
        <v>69</v>
      </c>
      <c r="Y136" s="185">
        <v>2427401</v>
      </c>
      <c r="Z136" s="255" t="s">
        <v>70</v>
      </c>
    </row>
    <row r="137" spans="1:26" s="7" customFormat="1" ht="12.75" customHeight="1" x14ac:dyDescent="0.2">
      <c r="A137" s="184" t="s">
        <v>67</v>
      </c>
      <c r="B137" s="185">
        <v>32</v>
      </c>
      <c r="C137" s="186" t="s">
        <v>258</v>
      </c>
      <c r="D137" s="186" t="s">
        <v>281</v>
      </c>
      <c r="E137" s="187"/>
      <c r="F137" s="187">
        <v>1900000000</v>
      </c>
      <c r="G137" s="187"/>
      <c r="H137" s="188" t="s">
        <v>68</v>
      </c>
      <c r="I137" s="189" t="s">
        <v>831</v>
      </c>
      <c r="J137" s="190">
        <v>5</v>
      </c>
      <c r="K137" s="192">
        <v>6</v>
      </c>
      <c r="L137" s="192">
        <v>6</v>
      </c>
      <c r="M137" s="185">
        <f t="shared" si="42"/>
        <v>1</v>
      </c>
      <c r="N137" s="193" t="s">
        <v>36</v>
      </c>
      <c r="O137" s="194" t="s">
        <v>256</v>
      </c>
      <c r="P137" s="195">
        <f t="shared" si="45"/>
        <v>1</v>
      </c>
      <c r="Q137" s="196">
        <f t="shared" si="43"/>
        <v>1900000000</v>
      </c>
      <c r="R137" s="196">
        <f t="shared" si="44"/>
        <v>1900000000</v>
      </c>
      <c r="S137" s="197" t="s">
        <v>217</v>
      </c>
      <c r="T137" s="193">
        <f t="shared" si="46"/>
        <v>0</v>
      </c>
      <c r="U137" s="198" t="str">
        <f t="shared" si="39"/>
        <v>SUBDIRECCION DE GESTION CONTRACTUAL</v>
      </c>
      <c r="V137" s="185" t="str">
        <f t="shared" si="47"/>
        <v>CO-DC</v>
      </c>
      <c r="W137" s="198" t="str">
        <f t="shared" si="48"/>
        <v>Distrito Capital de Bogotá</v>
      </c>
      <c r="X137" s="199" t="s">
        <v>69</v>
      </c>
      <c r="Y137" s="185">
        <v>2427401</v>
      </c>
      <c r="Z137" s="200" t="s">
        <v>70</v>
      </c>
    </row>
    <row r="138" spans="1:26" s="7" customFormat="1" ht="12.75" customHeight="1" x14ac:dyDescent="0.2">
      <c r="A138" s="184" t="s">
        <v>67</v>
      </c>
      <c r="B138" s="185">
        <v>33</v>
      </c>
      <c r="C138" s="186" t="s">
        <v>258</v>
      </c>
      <c r="D138" s="186" t="s">
        <v>281</v>
      </c>
      <c r="E138" s="187"/>
      <c r="F138" s="187">
        <v>250000000</v>
      </c>
      <c r="G138" s="187"/>
      <c r="H138" s="188" t="s">
        <v>68</v>
      </c>
      <c r="I138" s="189" t="s">
        <v>832</v>
      </c>
      <c r="J138" s="190">
        <v>5</v>
      </c>
      <c r="K138" s="192">
        <v>6</v>
      </c>
      <c r="L138" s="192">
        <v>6</v>
      </c>
      <c r="M138" s="185">
        <f t="shared" si="42"/>
        <v>1</v>
      </c>
      <c r="N138" s="193" t="s">
        <v>36</v>
      </c>
      <c r="O138" s="194" t="s">
        <v>256</v>
      </c>
      <c r="P138" s="195">
        <f t="shared" si="45"/>
        <v>1</v>
      </c>
      <c r="Q138" s="196">
        <f t="shared" si="43"/>
        <v>250000000</v>
      </c>
      <c r="R138" s="196">
        <f t="shared" si="44"/>
        <v>250000000</v>
      </c>
      <c r="S138" s="197" t="s">
        <v>217</v>
      </c>
      <c r="T138" s="193">
        <f t="shared" si="46"/>
        <v>0</v>
      </c>
      <c r="U138" s="198" t="str">
        <f t="shared" si="39"/>
        <v>SUBDIRECCION DE GESTION CONTRACTUAL</v>
      </c>
      <c r="V138" s="185" t="str">
        <f t="shared" si="47"/>
        <v>CO-DC</v>
      </c>
      <c r="W138" s="198" t="str">
        <f t="shared" si="48"/>
        <v>Distrito Capital de Bogotá</v>
      </c>
      <c r="X138" s="199" t="s">
        <v>69</v>
      </c>
      <c r="Y138" s="185">
        <v>2427401</v>
      </c>
      <c r="Z138" s="200" t="s">
        <v>70</v>
      </c>
    </row>
    <row r="139" spans="1:26" s="7" customFormat="1" ht="12.75" customHeight="1" x14ac:dyDescent="0.2">
      <c r="A139" s="184" t="s">
        <v>67</v>
      </c>
      <c r="B139" s="185">
        <v>34</v>
      </c>
      <c r="C139" s="186" t="s">
        <v>257</v>
      </c>
      <c r="D139" s="186" t="s">
        <v>281</v>
      </c>
      <c r="E139" s="187"/>
      <c r="F139" s="187">
        <v>2500000000</v>
      </c>
      <c r="G139" s="187"/>
      <c r="H139" s="188" t="s">
        <v>68</v>
      </c>
      <c r="I139" s="252" t="s">
        <v>969</v>
      </c>
      <c r="J139" s="201">
        <v>7</v>
      </c>
      <c r="K139" s="201">
        <v>7</v>
      </c>
      <c r="L139" s="201">
        <v>5</v>
      </c>
      <c r="M139" s="185">
        <f t="shared" si="42"/>
        <v>1</v>
      </c>
      <c r="N139" s="193" t="s">
        <v>36</v>
      </c>
      <c r="O139" s="194" t="s">
        <v>256</v>
      </c>
      <c r="P139" s="195">
        <f t="shared" si="45"/>
        <v>1</v>
      </c>
      <c r="Q139" s="196">
        <f t="shared" si="43"/>
        <v>2500000000</v>
      </c>
      <c r="R139" s="196">
        <f t="shared" si="44"/>
        <v>2500000000</v>
      </c>
      <c r="S139" s="197" t="s">
        <v>217</v>
      </c>
      <c r="T139" s="193">
        <f t="shared" si="46"/>
        <v>0</v>
      </c>
      <c r="U139" s="198" t="str">
        <f t="shared" si="39"/>
        <v>SUBDIRECCION DE GESTION CONTRACTUAL</v>
      </c>
      <c r="V139" s="185" t="str">
        <f t="shared" si="47"/>
        <v>CO-DC</v>
      </c>
      <c r="W139" s="198" t="str">
        <f t="shared" si="48"/>
        <v>Distrito Capital de Bogotá</v>
      </c>
      <c r="X139" s="199" t="s">
        <v>69</v>
      </c>
      <c r="Y139" s="185">
        <v>2427401</v>
      </c>
      <c r="Z139" s="200" t="s">
        <v>70</v>
      </c>
    </row>
    <row r="140" spans="1:26" s="7" customFormat="1" ht="12.75" customHeight="1" x14ac:dyDescent="0.2">
      <c r="A140" s="184" t="s">
        <v>67</v>
      </c>
      <c r="B140" s="185">
        <v>35</v>
      </c>
      <c r="C140" s="186" t="s">
        <v>257</v>
      </c>
      <c r="D140" s="186" t="s">
        <v>281</v>
      </c>
      <c r="E140" s="187"/>
      <c r="F140" s="187">
        <v>2000000000</v>
      </c>
      <c r="G140" s="187"/>
      <c r="H140" s="188" t="s">
        <v>68</v>
      </c>
      <c r="I140" s="189" t="s">
        <v>833</v>
      </c>
      <c r="J140" s="201">
        <v>8</v>
      </c>
      <c r="K140" s="201">
        <v>9</v>
      </c>
      <c r="L140" s="201">
        <v>3</v>
      </c>
      <c r="M140" s="185">
        <f t="shared" si="42"/>
        <v>1</v>
      </c>
      <c r="N140" s="193" t="s">
        <v>36</v>
      </c>
      <c r="O140" s="194" t="s">
        <v>256</v>
      </c>
      <c r="P140" s="195">
        <f t="shared" si="45"/>
        <v>1</v>
      </c>
      <c r="Q140" s="196">
        <f t="shared" si="43"/>
        <v>2000000000</v>
      </c>
      <c r="R140" s="196">
        <f t="shared" si="44"/>
        <v>2000000000</v>
      </c>
      <c r="S140" s="197" t="s">
        <v>217</v>
      </c>
      <c r="T140" s="193">
        <f t="shared" si="46"/>
        <v>0</v>
      </c>
      <c r="U140" s="198" t="str">
        <f t="shared" si="39"/>
        <v>SUBDIRECCION DE GESTION CONTRACTUAL</v>
      </c>
      <c r="V140" s="185" t="str">
        <f t="shared" si="47"/>
        <v>CO-DC</v>
      </c>
      <c r="W140" s="198" t="str">
        <f t="shared" si="48"/>
        <v>Distrito Capital de Bogotá</v>
      </c>
      <c r="X140" s="199" t="s">
        <v>69</v>
      </c>
      <c r="Y140" s="185">
        <v>2427401</v>
      </c>
      <c r="Z140" s="200" t="s">
        <v>70</v>
      </c>
    </row>
    <row r="141" spans="1:26" s="7" customFormat="1" ht="12.75" customHeight="1" x14ac:dyDescent="0.2">
      <c r="A141" s="184" t="s">
        <v>67</v>
      </c>
      <c r="B141" s="185">
        <v>36</v>
      </c>
      <c r="C141" s="186" t="s">
        <v>261</v>
      </c>
      <c r="D141" s="186" t="s">
        <v>71</v>
      </c>
      <c r="E141" s="187"/>
      <c r="F141" s="187">
        <v>1060000000</v>
      </c>
      <c r="G141" s="187"/>
      <c r="H141" s="188" t="s">
        <v>68</v>
      </c>
      <c r="I141" s="189" t="s">
        <v>834</v>
      </c>
      <c r="J141" s="201">
        <v>8</v>
      </c>
      <c r="K141" s="201">
        <v>9</v>
      </c>
      <c r="L141" s="201">
        <v>3</v>
      </c>
      <c r="M141" s="185">
        <f t="shared" si="42"/>
        <v>1</v>
      </c>
      <c r="N141" s="193" t="s">
        <v>36</v>
      </c>
      <c r="O141" s="194" t="s">
        <v>256</v>
      </c>
      <c r="P141" s="195">
        <f t="shared" si="45"/>
        <v>1</v>
      </c>
      <c r="Q141" s="196">
        <f t="shared" si="43"/>
        <v>1060000000</v>
      </c>
      <c r="R141" s="196">
        <f t="shared" si="44"/>
        <v>1060000000</v>
      </c>
      <c r="S141" s="197" t="s">
        <v>217</v>
      </c>
      <c r="T141" s="193">
        <f t="shared" si="46"/>
        <v>0</v>
      </c>
      <c r="U141" s="198" t="str">
        <f t="shared" ref="U141:U156" si="49">IF(ISBLANK(N141),"","SUBDIRECCION DE GESTION CONTRACTUAL")</f>
        <v>SUBDIRECCION DE GESTION CONTRACTUAL</v>
      </c>
      <c r="V141" s="185" t="str">
        <f t="shared" si="47"/>
        <v>CO-DC</v>
      </c>
      <c r="W141" s="198" t="str">
        <f t="shared" si="48"/>
        <v>Distrito Capital de Bogotá</v>
      </c>
      <c r="X141" s="199" t="s">
        <v>69</v>
      </c>
      <c r="Y141" s="185">
        <v>2427401</v>
      </c>
      <c r="Z141" s="200" t="s">
        <v>70</v>
      </c>
    </row>
    <row r="142" spans="1:26" s="7" customFormat="1" ht="12.75" customHeight="1" x14ac:dyDescent="0.2">
      <c r="A142" s="184" t="s">
        <v>67</v>
      </c>
      <c r="B142" s="185">
        <v>37</v>
      </c>
      <c r="C142" s="186" t="s">
        <v>255</v>
      </c>
      <c r="D142" s="186" t="s">
        <v>87</v>
      </c>
      <c r="E142" s="187"/>
      <c r="F142" s="187">
        <v>1000000000</v>
      </c>
      <c r="G142" s="187"/>
      <c r="H142" s="188" t="s">
        <v>68</v>
      </c>
      <c r="I142" s="189" t="s">
        <v>835</v>
      </c>
      <c r="J142" s="190">
        <v>5</v>
      </c>
      <c r="K142" s="192">
        <v>6</v>
      </c>
      <c r="L142" s="192">
        <v>6</v>
      </c>
      <c r="M142" s="185">
        <f t="shared" si="42"/>
        <v>1</v>
      </c>
      <c r="N142" s="193" t="s">
        <v>36</v>
      </c>
      <c r="O142" s="194" t="s">
        <v>256</v>
      </c>
      <c r="P142" s="195">
        <f t="shared" si="45"/>
        <v>1</v>
      </c>
      <c r="Q142" s="196">
        <f t="shared" si="43"/>
        <v>1000000000</v>
      </c>
      <c r="R142" s="196">
        <f t="shared" si="44"/>
        <v>1000000000</v>
      </c>
      <c r="S142" s="197" t="s">
        <v>217</v>
      </c>
      <c r="T142" s="193">
        <f t="shared" si="46"/>
        <v>0</v>
      </c>
      <c r="U142" s="198" t="str">
        <f t="shared" si="49"/>
        <v>SUBDIRECCION DE GESTION CONTRACTUAL</v>
      </c>
      <c r="V142" s="185" t="str">
        <f t="shared" si="47"/>
        <v>CO-DC</v>
      </c>
      <c r="W142" s="198" t="str">
        <f t="shared" si="48"/>
        <v>Distrito Capital de Bogotá</v>
      </c>
      <c r="X142" s="199" t="s">
        <v>69</v>
      </c>
      <c r="Y142" s="185">
        <v>2427401</v>
      </c>
      <c r="Z142" s="200" t="s">
        <v>70</v>
      </c>
    </row>
    <row r="143" spans="1:26" s="7" customFormat="1" ht="12.75" customHeight="1" x14ac:dyDescent="0.2">
      <c r="A143" s="184" t="s">
        <v>67</v>
      </c>
      <c r="B143" s="185">
        <v>38</v>
      </c>
      <c r="C143" s="186" t="s">
        <v>255</v>
      </c>
      <c r="D143" s="186" t="s">
        <v>87</v>
      </c>
      <c r="E143" s="187"/>
      <c r="F143" s="187">
        <v>800000000</v>
      </c>
      <c r="G143" s="187"/>
      <c r="H143" s="188" t="s">
        <v>72</v>
      </c>
      <c r="I143" s="189" t="s">
        <v>830</v>
      </c>
      <c r="J143" s="190">
        <v>5</v>
      </c>
      <c r="K143" s="192">
        <v>6</v>
      </c>
      <c r="L143" s="192">
        <v>6</v>
      </c>
      <c r="M143" s="185">
        <f t="shared" si="42"/>
        <v>1</v>
      </c>
      <c r="N143" s="193" t="s">
        <v>36</v>
      </c>
      <c r="O143" s="194" t="s">
        <v>256</v>
      </c>
      <c r="P143" s="195">
        <f t="shared" si="45"/>
        <v>1</v>
      </c>
      <c r="Q143" s="196">
        <f t="shared" si="43"/>
        <v>800000000</v>
      </c>
      <c r="R143" s="196">
        <f t="shared" si="44"/>
        <v>800000000</v>
      </c>
      <c r="S143" s="197" t="s">
        <v>217</v>
      </c>
      <c r="T143" s="193">
        <f t="shared" si="46"/>
        <v>0</v>
      </c>
      <c r="U143" s="198" t="str">
        <f t="shared" si="49"/>
        <v>SUBDIRECCION DE GESTION CONTRACTUAL</v>
      </c>
      <c r="V143" s="185" t="str">
        <f t="shared" si="47"/>
        <v>CO-DC</v>
      </c>
      <c r="W143" s="198" t="str">
        <f t="shared" si="48"/>
        <v>Distrito Capital de Bogotá</v>
      </c>
      <c r="X143" s="199" t="s">
        <v>69</v>
      </c>
      <c r="Y143" s="185">
        <v>2427401</v>
      </c>
      <c r="Z143" s="200" t="s">
        <v>70</v>
      </c>
    </row>
    <row r="144" spans="1:26" s="7" customFormat="1" ht="12.75" customHeight="1" x14ac:dyDescent="0.2">
      <c r="A144" s="184" t="s">
        <v>67</v>
      </c>
      <c r="B144" s="185">
        <v>39</v>
      </c>
      <c r="C144" s="186" t="s">
        <v>261</v>
      </c>
      <c r="D144" s="186" t="s">
        <v>71</v>
      </c>
      <c r="E144" s="187"/>
      <c r="F144" s="187">
        <f>1790202897+300000000</f>
        <v>2090202897</v>
      </c>
      <c r="G144" s="187"/>
      <c r="H144" s="188" t="s">
        <v>72</v>
      </c>
      <c r="I144" s="189" t="s">
        <v>830</v>
      </c>
      <c r="J144" s="190">
        <v>5</v>
      </c>
      <c r="K144" s="192">
        <v>6</v>
      </c>
      <c r="L144" s="192">
        <v>6</v>
      </c>
      <c r="M144" s="185">
        <f t="shared" si="42"/>
        <v>1</v>
      </c>
      <c r="N144" s="193" t="s">
        <v>36</v>
      </c>
      <c r="O144" s="194" t="s">
        <v>256</v>
      </c>
      <c r="P144" s="195">
        <f t="shared" si="45"/>
        <v>1</v>
      </c>
      <c r="Q144" s="196">
        <f t="shared" si="43"/>
        <v>2090202897</v>
      </c>
      <c r="R144" s="196">
        <f t="shared" si="44"/>
        <v>2090202897</v>
      </c>
      <c r="S144" s="197" t="s">
        <v>217</v>
      </c>
      <c r="T144" s="193">
        <f t="shared" si="46"/>
        <v>0</v>
      </c>
      <c r="U144" s="198" t="str">
        <f t="shared" si="49"/>
        <v>SUBDIRECCION DE GESTION CONTRACTUAL</v>
      </c>
      <c r="V144" s="185" t="str">
        <f t="shared" si="47"/>
        <v>CO-DC</v>
      </c>
      <c r="W144" s="198" t="str">
        <f t="shared" si="48"/>
        <v>Distrito Capital de Bogotá</v>
      </c>
      <c r="X144" s="199" t="s">
        <v>69</v>
      </c>
      <c r="Y144" s="185">
        <v>2427401</v>
      </c>
      <c r="Z144" s="200" t="s">
        <v>70</v>
      </c>
    </row>
    <row r="145" spans="1:26" s="7" customFormat="1" ht="12.75" customHeight="1" x14ac:dyDescent="0.2">
      <c r="A145" s="184" t="s">
        <v>67</v>
      </c>
      <c r="B145" s="185">
        <v>40</v>
      </c>
      <c r="C145" s="186" t="s">
        <v>274</v>
      </c>
      <c r="D145" s="186" t="s">
        <v>281</v>
      </c>
      <c r="E145" s="187"/>
      <c r="F145" s="187">
        <v>5000000000</v>
      </c>
      <c r="G145" s="187"/>
      <c r="H145" s="188" t="s">
        <v>72</v>
      </c>
      <c r="I145" s="189" t="s">
        <v>830</v>
      </c>
      <c r="J145" s="190">
        <v>5</v>
      </c>
      <c r="K145" s="192">
        <v>6</v>
      </c>
      <c r="L145" s="192">
        <v>6</v>
      </c>
      <c r="M145" s="185">
        <f t="shared" si="42"/>
        <v>1</v>
      </c>
      <c r="N145" s="193" t="s">
        <v>36</v>
      </c>
      <c r="O145" s="194" t="s">
        <v>256</v>
      </c>
      <c r="P145" s="195">
        <f t="shared" si="45"/>
        <v>1</v>
      </c>
      <c r="Q145" s="196">
        <f t="shared" si="43"/>
        <v>5000000000</v>
      </c>
      <c r="R145" s="196">
        <f t="shared" si="44"/>
        <v>5000000000</v>
      </c>
      <c r="S145" s="197" t="s">
        <v>217</v>
      </c>
      <c r="T145" s="193">
        <f t="shared" si="46"/>
        <v>0</v>
      </c>
      <c r="U145" s="198" t="str">
        <f t="shared" si="49"/>
        <v>SUBDIRECCION DE GESTION CONTRACTUAL</v>
      </c>
      <c r="V145" s="185" t="str">
        <f t="shared" si="47"/>
        <v>CO-DC</v>
      </c>
      <c r="W145" s="198" t="str">
        <f t="shared" si="48"/>
        <v>Distrito Capital de Bogotá</v>
      </c>
      <c r="X145" s="199" t="s">
        <v>69</v>
      </c>
      <c r="Y145" s="185">
        <v>2427401</v>
      </c>
      <c r="Z145" s="200" t="s">
        <v>70</v>
      </c>
    </row>
    <row r="146" spans="1:26" s="7" customFormat="1" ht="12.75" customHeight="1" x14ac:dyDescent="0.2">
      <c r="A146" s="184" t="s">
        <v>67</v>
      </c>
      <c r="B146" s="185">
        <v>41</v>
      </c>
      <c r="C146" s="186" t="s">
        <v>261</v>
      </c>
      <c r="D146" s="186" t="s">
        <v>71</v>
      </c>
      <c r="E146" s="187"/>
      <c r="F146" s="187">
        <v>500000000</v>
      </c>
      <c r="G146" s="187"/>
      <c r="H146" s="188" t="s">
        <v>68</v>
      </c>
      <c r="I146" s="189" t="s">
        <v>867</v>
      </c>
      <c r="J146" s="190">
        <v>5</v>
      </c>
      <c r="K146" s="192">
        <v>6</v>
      </c>
      <c r="L146" s="192">
        <v>6</v>
      </c>
      <c r="M146" s="185">
        <f t="shared" si="42"/>
        <v>1</v>
      </c>
      <c r="N146" s="193" t="s">
        <v>36</v>
      </c>
      <c r="O146" s="194" t="s">
        <v>256</v>
      </c>
      <c r="P146" s="195">
        <f t="shared" si="45"/>
        <v>1</v>
      </c>
      <c r="Q146" s="196">
        <f t="shared" si="43"/>
        <v>500000000</v>
      </c>
      <c r="R146" s="196">
        <f t="shared" si="44"/>
        <v>500000000</v>
      </c>
      <c r="S146" s="197" t="s">
        <v>217</v>
      </c>
      <c r="T146" s="193">
        <f t="shared" si="46"/>
        <v>0</v>
      </c>
      <c r="U146" s="198" t="str">
        <f t="shared" si="49"/>
        <v>SUBDIRECCION DE GESTION CONTRACTUAL</v>
      </c>
      <c r="V146" s="185" t="str">
        <f t="shared" si="47"/>
        <v>CO-DC</v>
      </c>
      <c r="W146" s="198" t="str">
        <f t="shared" si="48"/>
        <v>Distrito Capital de Bogotá</v>
      </c>
      <c r="X146" s="199" t="s">
        <v>69</v>
      </c>
      <c r="Y146" s="185">
        <v>2427401</v>
      </c>
      <c r="Z146" s="200" t="s">
        <v>70</v>
      </c>
    </row>
    <row r="147" spans="1:26" s="7" customFormat="1" ht="12.75" customHeight="1" x14ac:dyDescent="0.2">
      <c r="A147" s="184" t="s">
        <v>67</v>
      </c>
      <c r="B147" s="185">
        <v>42</v>
      </c>
      <c r="C147" s="186" t="s">
        <v>868</v>
      </c>
      <c r="D147" s="186" t="s">
        <v>80</v>
      </c>
      <c r="E147" s="187"/>
      <c r="F147" s="187">
        <v>216000000</v>
      </c>
      <c r="G147" s="187"/>
      <c r="H147" s="188">
        <v>80111600</v>
      </c>
      <c r="I147" s="189" t="s">
        <v>869</v>
      </c>
      <c r="J147" s="190">
        <v>5</v>
      </c>
      <c r="K147" s="192">
        <v>6</v>
      </c>
      <c r="L147" s="192">
        <v>6</v>
      </c>
      <c r="M147" s="185">
        <f t="shared" si="42"/>
        <v>1</v>
      </c>
      <c r="N147" s="193" t="s">
        <v>210</v>
      </c>
      <c r="O147" s="194" t="s">
        <v>264</v>
      </c>
      <c r="P147" s="195">
        <f t="shared" si="45"/>
        <v>1</v>
      </c>
      <c r="Q147" s="196">
        <f t="shared" si="43"/>
        <v>216000000</v>
      </c>
      <c r="R147" s="196">
        <f t="shared" si="44"/>
        <v>216000000</v>
      </c>
      <c r="S147" s="197" t="s">
        <v>217</v>
      </c>
      <c r="T147" s="193">
        <f t="shared" si="46"/>
        <v>0</v>
      </c>
      <c r="U147" s="198" t="str">
        <f t="shared" si="49"/>
        <v>SUBDIRECCION DE GESTION CONTRACTUAL</v>
      </c>
      <c r="V147" s="185" t="str">
        <f t="shared" si="47"/>
        <v>CO-DC</v>
      </c>
      <c r="W147" s="198" t="str">
        <f t="shared" si="48"/>
        <v>Distrito Capital de Bogotá</v>
      </c>
      <c r="X147" s="199" t="s">
        <v>69</v>
      </c>
      <c r="Y147" s="185">
        <v>2427401</v>
      </c>
      <c r="Z147" s="200" t="s">
        <v>70</v>
      </c>
    </row>
    <row r="148" spans="1:26" s="7" customFormat="1" ht="12.75" customHeight="1" x14ac:dyDescent="0.2">
      <c r="A148" s="184" t="s">
        <v>67</v>
      </c>
      <c r="B148" s="185">
        <v>43</v>
      </c>
      <c r="C148" s="186" t="s">
        <v>257</v>
      </c>
      <c r="D148" s="186" t="s">
        <v>71</v>
      </c>
      <c r="E148" s="187"/>
      <c r="F148" s="187">
        <v>1000000000</v>
      </c>
      <c r="G148" s="187"/>
      <c r="H148" s="188" t="s">
        <v>68</v>
      </c>
      <c r="I148" s="189" t="s">
        <v>870</v>
      </c>
      <c r="J148" s="201">
        <v>8</v>
      </c>
      <c r="K148" s="201">
        <v>9</v>
      </c>
      <c r="L148" s="201">
        <v>3</v>
      </c>
      <c r="M148" s="185">
        <f t="shared" si="42"/>
        <v>1</v>
      </c>
      <c r="N148" s="193" t="s">
        <v>36</v>
      </c>
      <c r="O148" s="194" t="s">
        <v>256</v>
      </c>
      <c r="P148" s="195">
        <f t="shared" si="45"/>
        <v>1</v>
      </c>
      <c r="Q148" s="196">
        <f t="shared" si="43"/>
        <v>1000000000</v>
      </c>
      <c r="R148" s="196">
        <f t="shared" si="44"/>
        <v>1000000000</v>
      </c>
      <c r="S148" s="197" t="s">
        <v>217</v>
      </c>
      <c r="T148" s="193">
        <f t="shared" si="46"/>
        <v>0</v>
      </c>
      <c r="U148" s="198" t="str">
        <f t="shared" si="49"/>
        <v>SUBDIRECCION DE GESTION CONTRACTUAL</v>
      </c>
      <c r="V148" s="185" t="str">
        <f t="shared" si="47"/>
        <v>CO-DC</v>
      </c>
      <c r="W148" s="198" t="str">
        <f t="shared" si="48"/>
        <v>Distrito Capital de Bogotá</v>
      </c>
      <c r="X148" s="199" t="s">
        <v>69</v>
      </c>
      <c r="Y148" s="185">
        <v>2427401</v>
      </c>
      <c r="Z148" s="200" t="s">
        <v>70</v>
      </c>
    </row>
    <row r="149" spans="1:26" s="7" customFormat="1" ht="12.75" customHeight="1" x14ac:dyDescent="0.2">
      <c r="A149" s="184" t="s">
        <v>67</v>
      </c>
      <c r="B149" s="185">
        <v>44</v>
      </c>
      <c r="C149" s="186" t="s">
        <v>261</v>
      </c>
      <c r="D149" s="186" t="s">
        <v>71</v>
      </c>
      <c r="E149" s="187"/>
      <c r="F149" s="187">
        <v>400000000</v>
      </c>
      <c r="G149" s="187"/>
      <c r="H149" s="188" t="s">
        <v>68</v>
      </c>
      <c r="I149" s="189" t="s">
        <v>871</v>
      </c>
      <c r="J149" s="201">
        <v>8</v>
      </c>
      <c r="K149" s="201">
        <v>9</v>
      </c>
      <c r="L149" s="201">
        <v>3</v>
      </c>
      <c r="M149" s="185">
        <f t="shared" si="42"/>
        <v>1</v>
      </c>
      <c r="N149" s="193" t="s">
        <v>36</v>
      </c>
      <c r="O149" s="194" t="s">
        <v>256</v>
      </c>
      <c r="P149" s="195">
        <f t="shared" si="45"/>
        <v>1</v>
      </c>
      <c r="Q149" s="196">
        <f t="shared" si="43"/>
        <v>400000000</v>
      </c>
      <c r="R149" s="196">
        <f t="shared" si="44"/>
        <v>400000000</v>
      </c>
      <c r="S149" s="197" t="s">
        <v>217</v>
      </c>
      <c r="T149" s="193">
        <f t="shared" si="46"/>
        <v>0</v>
      </c>
      <c r="U149" s="198" t="str">
        <f t="shared" si="49"/>
        <v>SUBDIRECCION DE GESTION CONTRACTUAL</v>
      </c>
      <c r="V149" s="185" t="str">
        <f t="shared" si="47"/>
        <v>CO-DC</v>
      </c>
      <c r="W149" s="198" t="str">
        <f t="shared" si="48"/>
        <v>Distrito Capital de Bogotá</v>
      </c>
      <c r="X149" s="199" t="s">
        <v>69</v>
      </c>
      <c r="Y149" s="185">
        <v>2427401</v>
      </c>
      <c r="Z149" s="200" t="s">
        <v>70</v>
      </c>
    </row>
    <row r="150" spans="1:26" s="7" customFormat="1" ht="12.75" customHeight="1" x14ac:dyDescent="0.2">
      <c r="A150" s="184" t="s">
        <v>67</v>
      </c>
      <c r="B150" s="185">
        <v>45</v>
      </c>
      <c r="C150" s="186" t="s">
        <v>261</v>
      </c>
      <c r="D150" s="186" t="s">
        <v>71</v>
      </c>
      <c r="E150" s="187"/>
      <c r="F150" s="187">
        <v>700000000</v>
      </c>
      <c r="G150" s="187"/>
      <c r="H150" s="188" t="s">
        <v>68</v>
      </c>
      <c r="I150" s="189" t="s">
        <v>872</v>
      </c>
      <c r="J150" s="201">
        <v>8</v>
      </c>
      <c r="K150" s="201">
        <v>9</v>
      </c>
      <c r="L150" s="201">
        <v>3</v>
      </c>
      <c r="M150" s="185">
        <f t="shared" si="42"/>
        <v>1</v>
      </c>
      <c r="N150" s="193" t="s">
        <v>36</v>
      </c>
      <c r="O150" s="194" t="s">
        <v>256</v>
      </c>
      <c r="P150" s="195">
        <f t="shared" si="45"/>
        <v>1</v>
      </c>
      <c r="Q150" s="196">
        <f t="shared" si="43"/>
        <v>700000000</v>
      </c>
      <c r="R150" s="196">
        <f t="shared" si="44"/>
        <v>700000000</v>
      </c>
      <c r="S150" s="197" t="s">
        <v>217</v>
      </c>
      <c r="T150" s="193">
        <f t="shared" si="46"/>
        <v>0</v>
      </c>
      <c r="U150" s="198" t="str">
        <f t="shared" si="49"/>
        <v>SUBDIRECCION DE GESTION CONTRACTUAL</v>
      </c>
      <c r="V150" s="185" t="str">
        <f t="shared" si="47"/>
        <v>CO-DC</v>
      </c>
      <c r="W150" s="198" t="str">
        <f t="shared" si="48"/>
        <v>Distrito Capital de Bogotá</v>
      </c>
      <c r="X150" s="199" t="s">
        <v>69</v>
      </c>
      <c r="Y150" s="185">
        <v>2427401</v>
      </c>
      <c r="Z150" s="200" t="s">
        <v>70</v>
      </c>
    </row>
    <row r="151" spans="1:26" s="7" customFormat="1" ht="12.75" customHeight="1" x14ac:dyDescent="0.2">
      <c r="A151" s="256" t="s">
        <v>67</v>
      </c>
      <c r="B151" s="202">
        <v>46</v>
      </c>
      <c r="C151" s="203" t="s">
        <v>255</v>
      </c>
      <c r="D151" s="186" t="s">
        <v>87</v>
      </c>
      <c r="E151" s="257"/>
      <c r="F151" s="187">
        <v>400000000</v>
      </c>
      <c r="G151" s="257"/>
      <c r="H151" s="188" t="s">
        <v>68</v>
      </c>
      <c r="I151" s="252" t="s">
        <v>966</v>
      </c>
      <c r="J151" s="201">
        <v>8</v>
      </c>
      <c r="K151" s="201">
        <v>9</v>
      </c>
      <c r="L151" s="201">
        <v>3</v>
      </c>
      <c r="M151" s="211">
        <v>1</v>
      </c>
      <c r="N151" s="201" t="s">
        <v>36</v>
      </c>
      <c r="O151" s="194" t="s">
        <v>256</v>
      </c>
      <c r="P151" s="211">
        <f t="shared" si="45"/>
        <v>1</v>
      </c>
      <c r="Q151" s="196">
        <f t="shared" si="43"/>
        <v>400000000</v>
      </c>
      <c r="R151" s="196">
        <f t="shared" si="44"/>
        <v>400000000</v>
      </c>
      <c r="S151" s="201" t="s">
        <v>217</v>
      </c>
      <c r="T151" s="211">
        <f t="shared" si="46"/>
        <v>0</v>
      </c>
      <c r="U151" s="211" t="str">
        <f t="shared" si="49"/>
        <v>SUBDIRECCION DE GESTION CONTRACTUAL</v>
      </c>
      <c r="V151" s="211" t="str">
        <f t="shared" si="47"/>
        <v>CO-DC</v>
      </c>
      <c r="W151" s="211" t="str">
        <f t="shared" si="48"/>
        <v>Distrito Capital de Bogotá</v>
      </c>
      <c r="X151" s="199" t="s">
        <v>69</v>
      </c>
      <c r="Y151" s="202">
        <v>2427401</v>
      </c>
      <c r="Z151" s="200" t="s">
        <v>70</v>
      </c>
    </row>
    <row r="152" spans="1:26" s="7" customFormat="1" ht="12.75" customHeight="1" x14ac:dyDescent="0.2">
      <c r="A152" s="256" t="s">
        <v>67</v>
      </c>
      <c r="B152" s="202">
        <v>47</v>
      </c>
      <c r="C152" s="203" t="s">
        <v>257</v>
      </c>
      <c r="D152" s="186" t="s">
        <v>71</v>
      </c>
      <c r="E152" s="257"/>
      <c r="F152" s="187">
        <v>2000000000</v>
      </c>
      <c r="G152" s="257"/>
      <c r="H152" s="188" t="s">
        <v>68</v>
      </c>
      <c r="I152" s="252" t="s">
        <v>967</v>
      </c>
      <c r="J152" s="201">
        <v>8</v>
      </c>
      <c r="K152" s="201">
        <v>9</v>
      </c>
      <c r="L152" s="201">
        <v>3</v>
      </c>
      <c r="M152" s="211">
        <f>IF(ISBLANK(J152),"",1)</f>
        <v>1</v>
      </c>
      <c r="N152" s="201" t="s">
        <v>36</v>
      </c>
      <c r="O152" s="194" t="s">
        <v>256</v>
      </c>
      <c r="P152" s="211">
        <f t="shared" si="45"/>
        <v>1</v>
      </c>
      <c r="Q152" s="196">
        <f t="shared" si="43"/>
        <v>2000000000</v>
      </c>
      <c r="R152" s="196">
        <f t="shared" si="44"/>
        <v>2000000000</v>
      </c>
      <c r="S152" s="201" t="s">
        <v>217</v>
      </c>
      <c r="T152" s="211">
        <f t="shared" si="46"/>
        <v>0</v>
      </c>
      <c r="U152" s="211" t="str">
        <f t="shared" si="49"/>
        <v>SUBDIRECCION DE GESTION CONTRACTUAL</v>
      </c>
      <c r="V152" s="211" t="str">
        <f t="shared" si="47"/>
        <v>CO-DC</v>
      </c>
      <c r="W152" s="211" t="str">
        <f t="shared" si="48"/>
        <v>Distrito Capital de Bogotá</v>
      </c>
      <c r="X152" s="199" t="s">
        <v>69</v>
      </c>
      <c r="Y152" s="202">
        <v>2427401</v>
      </c>
      <c r="Z152" s="200" t="s">
        <v>70</v>
      </c>
    </row>
    <row r="153" spans="1:26" s="7" customFormat="1" ht="12.75" customHeight="1" x14ac:dyDescent="0.2">
      <c r="A153" s="256" t="s">
        <v>67</v>
      </c>
      <c r="B153" s="202">
        <v>48</v>
      </c>
      <c r="C153" s="203" t="s">
        <v>257</v>
      </c>
      <c r="D153" s="186" t="s">
        <v>968</v>
      </c>
      <c r="E153" s="257"/>
      <c r="F153" s="187">
        <v>1200000000</v>
      </c>
      <c r="G153" s="257"/>
      <c r="H153" s="188" t="s">
        <v>68</v>
      </c>
      <c r="I153" s="252" t="s">
        <v>969</v>
      </c>
      <c r="J153" s="201">
        <v>8</v>
      </c>
      <c r="K153" s="201">
        <v>9</v>
      </c>
      <c r="L153" s="201">
        <v>3</v>
      </c>
      <c r="M153" s="211">
        <f>IF(ISBLANK(J153),"",1)</f>
        <v>1</v>
      </c>
      <c r="N153" s="201" t="s">
        <v>36</v>
      </c>
      <c r="O153" s="194" t="s">
        <v>256</v>
      </c>
      <c r="P153" s="211">
        <f t="shared" si="45"/>
        <v>1</v>
      </c>
      <c r="Q153" s="196">
        <f t="shared" si="43"/>
        <v>1200000000</v>
      </c>
      <c r="R153" s="196">
        <f t="shared" si="44"/>
        <v>1200000000</v>
      </c>
      <c r="S153" s="201" t="s">
        <v>217</v>
      </c>
      <c r="T153" s="211">
        <f t="shared" si="46"/>
        <v>0</v>
      </c>
      <c r="U153" s="211" t="str">
        <f t="shared" si="49"/>
        <v>SUBDIRECCION DE GESTION CONTRACTUAL</v>
      </c>
      <c r="V153" s="211" t="str">
        <f t="shared" si="47"/>
        <v>CO-DC</v>
      </c>
      <c r="W153" s="211" t="str">
        <f t="shared" si="48"/>
        <v>Distrito Capital de Bogotá</v>
      </c>
      <c r="X153" s="199" t="s">
        <v>69</v>
      </c>
      <c r="Y153" s="202">
        <v>2427401</v>
      </c>
      <c r="Z153" s="200" t="s">
        <v>70</v>
      </c>
    </row>
    <row r="154" spans="1:26" s="7" customFormat="1" ht="12.75" customHeight="1" x14ac:dyDescent="0.2">
      <c r="A154" s="256" t="s">
        <v>67</v>
      </c>
      <c r="B154" s="202">
        <v>49</v>
      </c>
      <c r="C154" s="203" t="s">
        <v>255</v>
      </c>
      <c r="D154" s="186" t="s">
        <v>87</v>
      </c>
      <c r="E154" s="257"/>
      <c r="F154" s="187">
        <v>4800000000</v>
      </c>
      <c r="G154" s="257"/>
      <c r="H154" s="188" t="s">
        <v>68</v>
      </c>
      <c r="I154" s="252" t="s">
        <v>967</v>
      </c>
      <c r="J154" s="201">
        <v>8</v>
      </c>
      <c r="K154" s="201">
        <v>9</v>
      </c>
      <c r="L154" s="201">
        <v>3</v>
      </c>
      <c r="M154" s="211">
        <f>IF(ISBLANK(J154),"",1)</f>
        <v>1</v>
      </c>
      <c r="N154" s="201" t="s">
        <v>36</v>
      </c>
      <c r="O154" s="194" t="s">
        <v>256</v>
      </c>
      <c r="P154" s="211">
        <f t="shared" si="45"/>
        <v>1</v>
      </c>
      <c r="Q154" s="196">
        <f t="shared" si="43"/>
        <v>4800000000</v>
      </c>
      <c r="R154" s="196">
        <f t="shared" si="44"/>
        <v>4800000000</v>
      </c>
      <c r="S154" s="201" t="s">
        <v>217</v>
      </c>
      <c r="T154" s="211">
        <f t="shared" si="46"/>
        <v>0</v>
      </c>
      <c r="U154" s="211" t="str">
        <f t="shared" si="49"/>
        <v>SUBDIRECCION DE GESTION CONTRACTUAL</v>
      </c>
      <c r="V154" s="211" t="str">
        <f t="shared" si="47"/>
        <v>CO-DC</v>
      </c>
      <c r="W154" s="211" t="str">
        <f t="shared" si="48"/>
        <v>Distrito Capital de Bogotá</v>
      </c>
      <c r="X154" s="199" t="s">
        <v>69</v>
      </c>
      <c r="Y154" s="202">
        <v>2427401</v>
      </c>
      <c r="Z154" s="200" t="s">
        <v>70</v>
      </c>
    </row>
    <row r="155" spans="1:26" s="7" customFormat="1" ht="12.75" customHeight="1" x14ac:dyDescent="0.2">
      <c r="A155" s="256" t="s">
        <v>67</v>
      </c>
      <c r="B155" s="202">
        <v>50</v>
      </c>
      <c r="C155" s="203" t="s">
        <v>261</v>
      </c>
      <c r="D155" s="186" t="s">
        <v>968</v>
      </c>
      <c r="E155" s="257"/>
      <c r="F155" s="187">
        <f>2262170637+543300000-205470637</f>
        <v>2600000000</v>
      </c>
      <c r="G155" s="257"/>
      <c r="H155" s="188" t="s">
        <v>68</v>
      </c>
      <c r="I155" s="252" t="s">
        <v>967</v>
      </c>
      <c r="J155" s="201">
        <v>8</v>
      </c>
      <c r="K155" s="201">
        <v>9</v>
      </c>
      <c r="L155" s="201">
        <v>3</v>
      </c>
      <c r="M155" s="211">
        <f>IF(ISBLANK(J155),"",1)</f>
        <v>1</v>
      </c>
      <c r="N155" s="201" t="s">
        <v>36</v>
      </c>
      <c r="O155" s="194" t="s">
        <v>256</v>
      </c>
      <c r="P155" s="211">
        <f t="shared" si="45"/>
        <v>1</v>
      </c>
      <c r="Q155" s="196">
        <f t="shared" si="43"/>
        <v>2600000000</v>
      </c>
      <c r="R155" s="196">
        <f t="shared" si="44"/>
        <v>2600000000</v>
      </c>
      <c r="S155" s="201" t="s">
        <v>217</v>
      </c>
      <c r="T155" s="211">
        <f t="shared" si="46"/>
        <v>0</v>
      </c>
      <c r="U155" s="211" t="str">
        <f t="shared" si="49"/>
        <v>SUBDIRECCION DE GESTION CONTRACTUAL</v>
      </c>
      <c r="V155" s="211" t="str">
        <f t="shared" si="47"/>
        <v>CO-DC</v>
      </c>
      <c r="W155" s="211" t="str">
        <f t="shared" si="48"/>
        <v>Distrito Capital de Bogotá</v>
      </c>
      <c r="X155" s="199" t="s">
        <v>69</v>
      </c>
      <c r="Y155" s="202">
        <v>2427401</v>
      </c>
      <c r="Z155" s="200" t="s">
        <v>70</v>
      </c>
    </row>
    <row r="156" spans="1:26" s="7" customFormat="1" ht="12.75" customHeight="1" x14ac:dyDescent="0.2">
      <c r="A156" s="256" t="s">
        <v>67</v>
      </c>
      <c r="B156" s="202">
        <v>51</v>
      </c>
      <c r="C156" s="243" t="s">
        <v>266</v>
      </c>
      <c r="D156" s="186" t="s">
        <v>968</v>
      </c>
      <c r="E156" s="257"/>
      <c r="F156" s="187">
        <v>50000000</v>
      </c>
      <c r="G156" s="257"/>
      <c r="H156" s="188" t="s">
        <v>68</v>
      </c>
      <c r="I156" s="252" t="s">
        <v>967</v>
      </c>
      <c r="J156" s="201">
        <v>8</v>
      </c>
      <c r="K156" s="201">
        <v>9</v>
      </c>
      <c r="L156" s="201">
        <v>3</v>
      </c>
      <c r="M156" s="211">
        <f>IF(ISBLANK(J156),"",1)</f>
        <v>1</v>
      </c>
      <c r="N156" s="201" t="s">
        <v>36</v>
      </c>
      <c r="O156" s="194" t="s">
        <v>256</v>
      </c>
      <c r="P156" s="211">
        <f t="shared" si="45"/>
        <v>1</v>
      </c>
      <c r="Q156" s="196">
        <f t="shared" si="43"/>
        <v>50000000</v>
      </c>
      <c r="R156" s="196">
        <f t="shared" si="44"/>
        <v>50000000</v>
      </c>
      <c r="S156" s="201" t="s">
        <v>217</v>
      </c>
      <c r="T156" s="211">
        <f t="shared" si="46"/>
        <v>0</v>
      </c>
      <c r="U156" s="211" t="str">
        <f t="shared" si="49"/>
        <v>SUBDIRECCION DE GESTION CONTRACTUAL</v>
      </c>
      <c r="V156" s="211" t="str">
        <f t="shared" si="47"/>
        <v>CO-DC</v>
      </c>
      <c r="W156" s="211" t="str">
        <f t="shared" si="48"/>
        <v>Distrito Capital de Bogotá</v>
      </c>
      <c r="X156" s="199" t="s">
        <v>69</v>
      </c>
      <c r="Y156" s="202">
        <v>2427401</v>
      </c>
      <c r="Z156" s="200" t="s">
        <v>70</v>
      </c>
    </row>
    <row r="157" spans="1:26" s="7" customFormat="1" ht="12.75" customHeight="1" x14ac:dyDescent="0.2">
      <c r="A157" s="256" t="s">
        <v>67</v>
      </c>
      <c r="B157" s="202">
        <v>52</v>
      </c>
      <c r="C157" s="243" t="s">
        <v>195</v>
      </c>
      <c r="D157" s="186" t="s">
        <v>968</v>
      </c>
      <c r="E157" s="257"/>
      <c r="F157" s="187">
        <v>14437700000</v>
      </c>
      <c r="G157" s="257"/>
      <c r="H157" s="188" t="s">
        <v>68</v>
      </c>
      <c r="I157" s="252" t="s">
        <v>1021</v>
      </c>
      <c r="J157" s="201">
        <v>8</v>
      </c>
      <c r="K157" s="201">
        <v>9</v>
      </c>
      <c r="L157" s="201">
        <v>3</v>
      </c>
      <c r="M157" s="211">
        <v>1</v>
      </c>
      <c r="N157" s="201" t="s">
        <v>36</v>
      </c>
      <c r="O157" s="194" t="s">
        <v>256</v>
      </c>
      <c r="P157" s="211">
        <v>1</v>
      </c>
      <c r="Q157" s="196">
        <f t="shared" si="43"/>
        <v>14437700000</v>
      </c>
      <c r="R157" s="196">
        <f t="shared" si="44"/>
        <v>14437700000</v>
      </c>
      <c r="S157" s="201" t="s">
        <v>217</v>
      </c>
      <c r="T157" s="211">
        <v>0</v>
      </c>
      <c r="U157" s="211" t="s">
        <v>37</v>
      </c>
      <c r="V157" s="211" t="s">
        <v>39</v>
      </c>
      <c r="W157" s="211" t="s">
        <v>38</v>
      </c>
      <c r="X157" s="199" t="s">
        <v>69</v>
      </c>
      <c r="Y157" s="202">
        <v>2427401</v>
      </c>
      <c r="Z157" s="200" t="s">
        <v>70</v>
      </c>
    </row>
    <row r="158" spans="1:26" s="7" customFormat="1" ht="12.75" customHeight="1" x14ac:dyDescent="0.2">
      <c r="A158" s="256" t="s">
        <v>67</v>
      </c>
      <c r="B158" s="202">
        <v>53</v>
      </c>
      <c r="C158" s="243" t="s">
        <v>257</v>
      </c>
      <c r="D158" s="186" t="s">
        <v>281</v>
      </c>
      <c r="E158" s="257"/>
      <c r="F158" s="187">
        <v>2000000000</v>
      </c>
      <c r="G158" s="257"/>
      <c r="H158" s="188" t="s">
        <v>68</v>
      </c>
      <c r="I158" s="252" t="s">
        <v>1021</v>
      </c>
      <c r="J158" s="201">
        <v>8</v>
      </c>
      <c r="K158" s="201">
        <v>9</v>
      </c>
      <c r="L158" s="201">
        <v>3</v>
      </c>
      <c r="M158" s="211">
        <v>1</v>
      </c>
      <c r="N158" s="201" t="s">
        <v>36</v>
      </c>
      <c r="O158" s="194" t="s">
        <v>256</v>
      </c>
      <c r="P158" s="211">
        <v>1</v>
      </c>
      <c r="Q158" s="196">
        <f t="shared" si="43"/>
        <v>2000000000</v>
      </c>
      <c r="R158" s="196">
        <f t="shared" si="44"/>
        <v>2000000000</v>
      </c>
      <c r="S158" s="201" t="s">
        <v>217</v>
      </c>
      <c r="T158" s="211">
        <v>0</v>
      </c>
      <c r="U158" s="211" t="s">
        <v>37</v>
      </c>
      <c r="V158" s="211" t="s">
        <v>39</v>
      </c>
      <c r="W158" s="211" t="s">
        <v>38</v>
      </c>
      <c r="X158" s="199" t="s">
        <v>69</v>
      </c>
      <c r="Y158" s="202">
        <v>2427401</v>
      </c>
      <c r="Z158" s="200" t="s">
        <v>70</v>
      </c>
    </row>
    <row r="159" spans="1:26" s="7" customFormat="1" ht="12.75" customHeight="1" x14ac:dyDescent="0.2">
      <c r="A159" s="256" t="s">
        <v>67</v>
      </c>
      <c r="B159" s="202">
        <v>54</v>
      </c>
      <c r="C159" s="243" t="s">
        <v>257</v>
      </c>
      <c r="D159" s="186" t="s">
        <v>968</v>
      </c>
      <c r="E159" s="257"/>
      <c r="F159" s="187">
        <v>50000000</v>
      </c>
      <c r="G159" s="257"/>
      <c r="H159" s="188" t="s">
        <v>1022</v>
      </c>
      <c r="I159" s="252" t="s">
        <v>1023</v>
      </c>
      <c r="J159" s="201">
        <v>8</v>
      </c>
      <c r="K159" s="201">
        <v>9</v>
      </c>
      <c r="L159" s="201">
        <v>2</v>
      </c>
      <c r="M159" s="211">
        <v>1</v>
      </c>
      <c r="N159" s="201" t="s">
        <v>53</v>
      </c>
      <c r="O159" s="194" t="s">
        <v>1019</v>
      </c>
      <c r="P159" s="211">
        <v>1</v>
      </c>
      <c r="Q159" s="196">
        <f t="shared" si="43"/>
        <v>50000000</v>
      </c>
      <c r="R159" s="196">
        <f t="shared" si="44"/>
        <v>50000000</v>
      </c>
      <c r="S159" s="201" t="s">
        <v>217</v>
      </c>
      <c r="T159" s="211">
        <v>0</v>
      </c>
      <c r="U159" s="211" t="s">
        <v>37</v>
      </c>
      <c r="V159" s="211" t="s">
        <v>39</v>
      </c>
      <c r="W159" s="211" t="s">
        <v>38</v>
      </c>
      <c r="X159" s="199" t="s">
        <v>69</v>
      </c>
      <c r="Y159" s="202">
        <v>2427401</v>
      </c>
      <c r="Z159" s="200" t="s">
        <v>70</v>
      </c>
    </row>
    <row r="160" spans="1:26" s="7" customFormat="1" ht="12.75" customHeight="1" x14ac:dyDescent="0.2">
      <c r="A160" s="256" t="s">
        <v>67</v>
      </c>
      <c r="B160" s="202">
        <v>55</v>
      </c>
      <c r="C160" s="243" t="s">
        <v>257</v>
      </c>
      <c r="D160" s="186" t="s">
        <v>968</v>
      </c>
      <c r="E160" s="257"/>
      <c r="F160" s="187">
        <v>2000000000</v>
      </c>
      <c r="G160" s="257"/>
      <c r="H160" s="188" t="s">
        <v>68</v>
      </c>
      <c r="I160" s="252" t="s">
        <v>1030</v>
      </c>
      <c r="J160" s="201">
        <v>8</v>
      </c>
      <c r="K160" s="201">
        <v>8</v>
      </c>
      <c r="L160" s="201">
        <v>4</v>
      </c>
      <c r="M160" s="211">
        <f t="shared" ref="M160:M191" si="50">IF(ISBLANK(J160),"",1)</f>
        <v>1</v>
      </c>
      <c r="N160" s="201" t="s">
        <v>36</v>
      </c>
      <c r="O160" s="194" t="s">
        <v>256</v>
      </c>
      <c r="P160" s="211">
        <f t="shared" ref="P160:P191" si="51">IF(ISBLANK(N160),"",1)</f>
        <v>1</v>
      </c>
      <c r="Q160" s="196">
        <f t="shared" si="43"/>
        <v>2000000000</v>
      </c>
      <c r="R160" s="196">
        <f t="shared" si="44"/>
        <v>2000000000</v>
      </c>
      <c r="S160" s="201" t="s">
        <v>217</v>
      </c>
      <c r="T160" s="211">
        <f t="shared" ref="T160:T191" si="52">IF(ISBLANK(S160),"",IF(VALUE(S160)=0,0,IF(VALUE(S160)=1,3,"")))</f>
        <v>0</v>
      </c>
      <c r="U160" s="211" t="str">
        <f t="shared" ref="U160:U191" si="53">IF(ISBLANK(N160),"","SUBDIRECCION DE GESTION CONTRACTUAL")</f>
        <v>SUBDIRECCION DE GESTION CONTRACTUAL</v>
      </c>
      <c r="V160" s="211" t="str">
        <f t="shared" ref="V160:V191" si="54">IF(ISBLANK(N160),"","CO-DC")</f>
        <v>CO-DC</v>
      </c>
      <c r="W160" s="211" t="str">
        <f t="shared" ref="W160:W191" si="55">IF(ISBLANK(N160),"","Distrito Capital de Bogotá")</f>
        <v>Distrito Capital de Bogotá</v>
      </c>
      <c r="X160" s="199" t="s">
        <v>69</v>
      </c>
      <c r="Y160" s="202">
        <v>2427401</v>
      </c>
      <c r="Z160" s="200" t="s">
        <v>70</v>
      </c>
    </row>
    <row r="161" spans="1:26" s="7" customFormat="1" ht="12.75" customHeight="1" x14ac:dyDescent="0.2">
      <c r="A161" s="184" t="s">
        <v>285</v>
      </c>
      <c r="B161" s="185">
        <v>1</v>
      </c>
      <c r="C161" s="186" t="s">
        <v>286</v>
      </c>
      <c r="D161" s="186" t="s">
        <v>287</v>
      </c>
      <c r="E161" s="187"/>
      <c r="F161" s="187">
        <f>1612449178+553606175</f>
        <v>2166055353</v>
      </c>
      <c r="G161" s="187"/>
      <c r="H161" s="188">
        <v>80111600</v>
      </c>
      <c r="I161" s="189" t="s">
        <v>288</v>
      </c>
      <c r="J161" s="190">
        <v>1</v>
      </c>
      <c r="K161" s="191">
        <v>1</v>
      </c>
      <c r="L161" s="192">
        <v>12</v>
      </c>
      <c r="M161" s="185">
        <f t="shared" si="50"/>
        <v>1</v>
      </c>
      <c r="N161" s="193" t="s">
        <v>210</v>
      </c>
      <c r="O161" s="194" t="s">
        <v>264</v>
      </c>
      <c r="P161" s="195">
        <f t="shared" si="51"/>
        <v>1</v>
      </c>
      <c r="Q161" s="196">
        <f t="shared" ref="Q161:Q190" si="56">+E161+F161+G161</f>
        <v>2166055353</v>
      </c>
      <c r="R161" s="196">
        <f t="shared" ref="R161:R190" si="57">+F161</f>
        <v>2166055353</v>
      </c>
      <c r="S161" s="197" t="s">
        <v>217</v>
      </c>
      <c r="T161" s="193">
        <f t="shared" si="52"/>
        <v>0</v>
      </c>
      <c r="U161" s="198" t="str">
        <f t="shared" si="53"/>
        <v>SUBDIRECCION DE GESTION CONTRACTUAL</v>
      </c>
      <c r="V161" s="185" t="str">
        <f t="shared" si="54"/>
        <v>CO-DC</v>
      </c>
      <c r="W161" s="198" t="str">
        <f t="shared" si="55"/>
        <v>Distrito Capital de Bogotá</v>
      </c>
      <c r="X161" s="199" t="s">
        <v>81</v>
      </c>
      <c r="Y161" s="185">
        <v>2427400</v>
      </c>
      <c r="Z161" s="200" t="s">
        <v>82</v>
      </c>
    </row>
    <row r="162" spans="1:26" s="7" customFormat="1" ht="12.75" customHeight="1" x14ac:dyDescent="0.2">
      <c r="A162" s="184" t="s">
        <v>285</v>
      </c>
      <c r="B162" s="185">
        <v>2</v>
      </c>
      <c r="C162" s="186" t="s">
        <v>286</v>
      </c>
      <c r="D162" s="186" t="s">
        <v>287</v>
      </c>
      <c r="E162" s="187"/>
      <c r="F162" s="187">
        <v>0</v>
      </c>
      <c r="G162" s="187"/>
      <c r="H162" s="188" t="s">
        <v>710</v>
      </c>
      <c r="I162" s="189" t="s">
        <v>289</v>
      </c>
      <c r="J162" s="206">
        <v>1</v>
      </c>
      <c r="K162" s="206">
        <v>2</v>
      </c>
      <c r="L162" s="206">
        <v>3</v>
      </c>
      <c r="M162" s="185">
        <f t="shared" si="50"/>
        <v>1</v>
      </c>
      <c r="N162" s="193" t="s">
        <v>36</v>
      </c>
      <c r="O162" s="194" t="s">
        <v>256</v>
      </c>
      <c r="P162" s="195">
        <f t="shared" si="51"/>
        <v>1</v>
      </c>
      <c r="Q162" s="196">
        <f t="shared" si="56"/>
        <v>0</v>
      </c>
      <c r="R162" s="196">
        <f t="shared" si="57"/>
        <v>0</v>
      </c>
      <c r="S162" s="197" t="s">
        <v>217</v>
      </c>
      <c r="T162" s="193">
        <f t="shared" si="52"/>
        <v>0</v>
      </c>
      <c r="U162" s="198" t="str">
        <f t="shared" si="53"/>
        <v>SUBDIRECCION DE GESTION CONTRACTUAL</v>
      </c>
      <c r="V162" s="185" t="str">
        <f t="shared" si="54"/>
        <v>CO-DC</v>
      </c>
      <c r="W162" s="198" t="str">
        <f t="shared" si="55"/>
        <v>Distrito Capital de Bogotá</v>
      </c>
      <c r="X162" s="199" t="s">
        <v>81</v>
      </c>
      <c r="Y162" s="185">
        <v>2427400</v>
      </c>
      <c r="Z162" s="200" t="s">
        <v>82</v>
      </c>
    </row>
    <row r="163" spans="1:26" s="7" customFormat="1" ht="12.75" customHeight="1" x14ac:dyDescent="0.2">
      <c r="A163" s="184" t="s">
        <v>285</v>
      </c>
      <c r="B163" s="185">
        <v>3</v>
      </c>
      <c r="C163" s="186" t="s">
        <v>286</v>
      </c>
      <c r="D163" s="186" t="s">
        <v>287</v>
      </c>
      <c r="E163" s="187"/>
      <c r="F163" s="187">
        <f>150302362+40000000</f>
        <v>190302362</v>
      </c>
      <c r="G163" s="187"/>
      <c r="H163" s="188" t="s">
        <v>710</v>
      </c>
      <c r="I163" s="189" t="s">
        <v>289</v>
      </c>
      <c r="J163" s="190">
        <v>2</v>
      </c>
      <c r="K163" s="191">
        <v>3</v>
      </c>
      <c r="L163" s="192">
        <v>9</v>
      </c>
      <c r="M163" s="185">
        <f t="shared" si="50"/>
        <v>1</v>
      </c>
      <c r="N163" s="193" t="s">
        <v>221</v>
      </c>
      <c r="O163" s="194" t="s">
        <v>903</v>
      </c>
      <c r="P163" s="195">
        <f t="shared" si="51"/>
        <v>1</v>
      </c>
      <c r="Q163" s="196">
        <f t="shared" si="56"/>
        <v>190302362</v>
      </c>
      <c r="R163" s="196">
        <f t="shared" si="57"/>
        <v>190302362</v>
      </c>
      <c r="S163" s="197" t="s">
        <v>217</v>
      </c>
      <c r="T163" s="193">
        <f t="shared" si="52"/>
        <v>0</v>
      </c>
      <c r="U163" s="198" t="str">
        <f t="shared" si="53"/>
        <v>SUBDIRECCION DE GESTION CONTRACTUAL</v>
      </c>
      <c r="V163" s="185" t="str">
        <f t="shared" si="54"/>
        <v>CO-DC</v>
      </c>
      <c r="W163" s="198" t="str">
        <f t="shared" si="55"/>
        <v>Distrito Capital de Bogotá</v>
      </c>
      <c r="X163" s="199" t="s">
        <v>81</v>
      </c>
      <c r="Y163" s="185">
        <v>2427400</v>
      </c>
      <c r="Z163" s="200" t="s">
        <v>82</v>
      </c>
    </row>
    <row r="164" spans="1:26" s="7" customFormat="1" ht="12.75" customHeight="1" x14ac:dyDescent="0.2">
      <c r="A164" s="184" t="s">
        <v>285</v>
      </c>
      <c r="B164" s="185">
        <v>4</v>
      </c>
      <c r="C164" s="186" t="s">
        <v>286</v>
      </c>
      <c r="D164" s="186" t="s">
        <v>287</v>
      </c>
      <c r="E164" s="187"/>
      <c r="F164" s="187">
        <v>50000000</v>
      </c>
      <c r="G164" s="187"/>
      <c r="H164" s="188" t="s">
        <v>42</v>
      </c>
      <c r="I164" s="189" t="s">
        <v>290</v>
      </c>
      <c r="J164" s="190">
        <v>3</v>
      </c>
      <c r="K164" s="191">
        <v>4</v>
      </c>
      <c r="L164" s="192">
        <v>9</v>
      </c>
      <c r="M164" s="185">
        <f t="shared" si="50"/>
        <v>1</v>
      </c>
      <c r="N164" s="193" t="s">
        <v>61</v>
      </c>
      <c r="O164" s="194" t="s">
        <v>902</v>
      </c>
      <c r="P164" s="195">
        <f t="shared" si="51"/>
        <v>1</v>
      </c>
      <c r="Q164" s="196">
        <f t="shared" si="56"/>
        <v>50000000</v>
      </c>
      <c r="R164" s="196">
        <f t="shared" si="57"/>
        <v>50000000</v>
      </c>
      <c r="S164" s="197" t="s">
        <v>217</v>
      </c>
      <c r="T164" s="193">
        <f t="shared" si="52"/>
        <v>0</v>
      </c>
      <c r="U164" s="198" t="str">
        <f t="shared" si="53"/>
        <v>SUBDIRECCION DE GESTION CONTRACTUAL</v>
      </c>
      <c r="V164" s="185" t="str">
        <f t="shared" si="54"/>
        <v>CO-DC</v>
      </c>
      <c r="W164" s="198" t="str">
        <f t="shared" si="55"/>
        <v>Distrito Capital de Bogotá</v>
      </c>
      <c r="X164" s="199" t="s">
        <v>321</v>
      </c>
      <c r="Y164" s="185">
        <v>2427400</v>
      </c>
      <c r="Z164" s="200" t="s">
        <v>75</v>
      </c>
    </row>
    <row r="165" spans="1:26" s="7" customFormat="1" ht="12.75" customHeight="1" x14ac:dyDescent="0.2">
      <c r="A165" s="184" t="s">
        <v>285</v>
      </c>
      <c r="B165" s="185">
        <v>5</v>
      </c>
      <c r="C165" s="186" t="s">
        <v>286</v>
      </c>
      <c r="D165" s="186" t="s">
        <v>287</v>
      </c>
      <c r="E165" s="187"/>
      <c r="F165" s="187">
        <f>605901056-105901056</f>
        <v>500000000</v>
      </c>
      <c r="G165" s="187"/>
      <c r="H165" s="188" t="s">
        <v>848</v>
      </c>
      <c r="I165" s="189" t="s">
        <v>849</v>
      </c>
      <c r="J165" s="190">
        <v>8</v>
      </c>
      <c r="K165" s="190">
        <v>8</v>
      </c>
      <c r="L165" s="192">
        <v>5</v>
      </c>
      <c r="M165" s="185">
        <f t="shared" si="50"/>
        <v>1</v>
      </c>
      <c r="N165" s="193" t="s">
        <v>210</v>
      </c>
      <c r="O165" s="194" t="s">
        <v>264</v>
      </c>
      <c r="P165" s="195">
        <f t="shared" si="51"/>
        <v>1</v>
      </c>
      <c r="Q165" s="196">
        <f t="shared" si="56"/>
        <v>500000000</v>
      </c>
      <c r="R165" s="196">
        <f t="shared" si="57"/>
        <v>500000000</v>
      </c>
      <c r="S165" s="197" t="s">
        <v>217</v>
      </c>
      <c r="T165" s="193">
        <f t="shared" si="52"/>
        <v>0</v>
      </c>
      <c r="U165" s="198" t="str">
        <f t="shared" si="53"/>
        <v>SUBDIRECCION DE GESTION CONTRACTUAL</v>
      </c>
      <c r="V165" s="185" t="str">
        <f t="shared" si="54"/>
        <v>CO-DC</v>
      </c>
      <c r="W165" s="198" t="str">
        <f t="shared" si="55"/>
        <v>Distrito Capital de Bogotá</v>
      </c>
      <c r="X165" s="199" t="s">
        <v>81</v>
      </c>
      <c r="Y165" s="185">
        <v>2427400</v>
      </c>
      <c r="Z165" s="200" t="s">
        <v>82</v>
      </c>
    </row>
    <row r="166" spans="1:26" s="7" customFormat="1" ht="12.75" customHeight="1" x14ac:dyDescent="0.2">
      <c r="A166" s="184" t="s">
        <v>285</v>
      </c>
      <c r="B166" s="185">
        <v>6</v>
      </c>
      <c r="C166" s="186" t="s">
        <v>286</v>
      </c>
      <c r="D166" s="186" t="s">
        <v>287</v>
      </c>
      <c r="E166" s="187"/>
      <c r="F166" s="187">
        <f>167927278-167927278</f>
        <v>0</v>
      </c>
      <c r="G166" s="187"/>
      <c r="H166" s="188" t="s">
        <v>291</v>
      </c>
      <c r="I166" s="189" t="s">
        <v>292</v>
      </c>
      <c r="J166" s="190">
        <v>2</v>
      </c>
      <c r="K166" s="191">
        <v>4</v>
      </c>
      <c r="L166" s="192">
        <v>6</v>
      </c>
      <c r="M166" s="185">
        <f t="shared" si="50"/>
        <v>1</v>
      </c>
      <c r="N166" s="193" t="s">
        <v>36</v>
      </c>
      <c r="O166" s="194" t="s">
        <v>256</v>
      </c>
      <c r="P166" s="195">
        <f t="shared" si="51"/>
        <v>1</v>
      </c>
      <c r="Q166" s="196">
        <f t="shared" si="56"/>
        <v>0</v>
      </c>
      <c r="R166" s="196">
        <f t="shared" si="57"/>
        <v>0</v>
      </c>
      <c r="S166" s="197" t="s">
        <v>217</v>
      </c>
      <c r="T166" s="193">
        <f t="shared" si="52"/>
        <v>0</v>
      </c>
      <c r="U166" s="198" t="str">
        <f t="shared" si="53"/>
        <v>SUBDIRECCION DE GESTION CONTRACTUAL</v>
      </c>
      <c r="V166" s="185" t="str">
        <f t="shared" si="54"/>
        <v>CO-DC</v>
      </c>
      <c r="W166" s="198" t="str">
        <f t="shared" si="55"/>
        <v>Distrito Capital de Bogotá</v>
      </c>
      <c r="X166" s="199" t="s">
        <v>81</v>
      </c>
      <c r="Y166" s="185">
        <v>2427400</v>
      </c>
      <c r="Z166" s="200" t="s">
        <v>82</v>
      </c>
    </row>
    <row r="167" spans="1:26" s="7" customFormat="1" ht="12.75" customHeight="1" x14ac:dyDescent="0.2">
      <c r="A167" s="184" t="s">
        <v>285</v>
      </c>
      <c r="B167" s="185">
        <v>7</v>
      </c>
      <c r="C167" s="186" t="s">
        <v>293</v>
      </c>
      <c r="D167" s="186" t="s">
        <v>287</v>
      </c>
      <c r="E167" s="187"/>
      <c r="F167" s="187">
        <f>849530286+100000000</f>
        <v>949530286</v>
      </c>
      <c r="G167" s="187"/>
      <c r="H167" s="188">
        <v>80111600</v>
      </c>
      <c r="I167" s="189" t="s">
        <v>288</v>
      </c>
      <c r="J167" s="190">
        <v>1</v>
      </c>
      <c r="K167" s="191">
        <v>1</v>
      </c>
      <c r="L167" s="192">
        <v>12</v>
      </c>
      <c r="M167" s="185">
        <f t="shared" si="50"/>
        <v>1</v>
      </c>
      <c r="N167" s="193" t="s">
        <v>210</v>
      </c>
      <c r="O167" s="194" t="s">
        <v>264</v>
      </c>
      <c r="P167" s="195">
        <f t="shared" si="51"/>
        <v>1</v>
      </c>
      <c r="Q167" s="196">
        <f t="shared" si="56"/>
        <v>949530286</v>
      </c>
      <c r="R167" s="196">
        <f t="shared" si="57"/>
        <v>949530286</v>
      </c>
      <c r="S167" s="197" t="s">
        <v>217</v>
      </c>
      <c r="T167" s="193">
        <f t="shared" si="52"/>
        <v>0</v>
      </c>
      <c r="U167" s="198" t="str">
        <f t="shared" si="53"/>
        <v>SUBDIRECCION DE GESTION CONTRACTUAL</v>
      </c>
      <c r="V167" s="185" t="str">
        <f t="shared" si="54"/>
        <v>CO-DC</v>
      </c>
      <c r="W167" s="198" t="str">
        <f t="shared" si="55"/>
        <v>Distrito Capital de Bogotá</v>
      </c>
      <c r="X167" s="199" t="s">
        <v>81</v>
      </c>
      <c r="Y167" s="185">
        <v>2427400</v>
      </c>
      <c r="Z167" s="200" t="s">
        <v>82</v>
      </c>
    </row>
    <row r="168" spans="1:26" s="7" customFormat="1" ht="12.75" customHeight="1" x14ac:dyDescent="0.2">
      <c r="A168" s="184" t="s">
        <v>285</v>
      </c>
      <c r="B168" s="185">
        <v>8</v>
      </c>
      <c r="C168" s="186" t="s">
        <v>293</v>
      </c>
      <c r="D168" s="186" t="s">
        <v>287</v>
      </c>
      <c r="E168" s="187"/>
      <c r="F168" s="187">
        <v>500000000</v>
      </c>
      <c r="G168" s="187"/>
      <c r="H168" s="188" t="s">
        <v>294</v>
      </c>
      <c r="I168" s="189" t="s">
        <v>295</v>
      </c>
      <c r="J168" s="190">
        <v>9</v>
      </c>
      <c r="K168" s="214">
        <v>9</v>
      </c>
      <c r="L168" s="192">
        <v>4</v>
      </c>
      <c r="M168" s="185">
        <f t="shared" si="50"/>
        <v>1</v>
      </c>
      <c r="N168" s="193" t="s">
        <v>296</v>
      </c>
      <c r="O168" s="194" t="s">
        <v>904</v>
      </c>
      <c r="P168" s="195">
        <f t="shared" si="51"/>
        <v>1</v>
      </c>
      <c r="Q168" s="196">
        <f t="shared" si="56"/>
        <v>500000000</v>
      </c>
      <c r="R168" s="196">
        <f t="shared" si="57"/>
        <v>500000000</v>
      </c>
      <c r="S168" s="197" t="s">
        <v>217</v>
      </c>
      <c r="T168" s="193">
        <f t="shared" si="52"/>
        <v>0</v>
      </c>
      <c r="U168" s="198" t="str">
        <f t="shared" si="53"/>
        <v>SUBDIRECCION DE GESTION CONTRACTUAL</v>
      </c>
      <c r="V168" s="185" t="str">
        <f t="shared" si="54"/>
        <v>CO-DC</v>
      </c>
      <c r="W168" s="198" t="str">
        <f t="shared" si="55"/>
        <v>Distrito Capital de Bogotá</v>
      </c>
      <c r="X168" s="199" t="s">
        <v>81</v>
      </c>
      <c r="Y168" s="185">
        <v>2427400</v>
      </c>
      <c r="Z168" s="200" t="s">
        <v>82</v>
      </c>
    </row>
    <row r="169" spans="1:26" s="7" customFormat="1" ht="12.75" customHeight="1" x14ac:dyDescent="0.2">
      <c r="A169" s="184" t="s">
        <v>285</v>
      </c>
      <c r="B169" s="185">
        <v>9</v>
      </c>
      <c r="C169" s="186" t="s">
        <v>293</v>
      </c>
      <c r="D169" s="186" t="s">
        <v>287</v>
      </c>
      <c r="E169" s="187"/>
      <c r="F169" s="187">
        <f>100000000-100000000</f>
        <v>0</v>
      </c>
      <c r="G169" s="187"/>
      <c r="H169" s="188" t="s">
        <v>297</v>
      </c>
      <c r="I169" s="189" t="s">
        <v>298</v>
      </c>
      <c r="J169" s="190">
        <v>4</v>
      </c>
      <c r="K169" s="214">
        <v>6</v>
      </c>
      <c r="L169" s="192">
        <v>6</v>
      </c>
      <c r="M169" s="185">
        <f t="shared" si="50"/>
        <v>1</v>
      </c>
      <c r="N169" s="193" t="s">
        <v>53</v>
      </c>
      <c r="O169" s="194" t="s">
        <v>54</v>
      </c>
      <c r="P169" s="195">
        <f t="shared" si="51"/>
        <v>1</v>
      </c>
      <c r="Q169" s="196">
        <f t="shared" si="56"/>
        <v>0</v>
      </c>
      <c r="R169" s="196">
        <f t="shared" si="57"/>
        <v>0</v>
      </c>
      <c r="S169" s="197" t="s">
        <v>217</v>
      </c>
      <c r="T169" s="193">
        <f t="shared" si="52"/>
        <v>0</v>
      </c>
      <c r="U169" s="198" t="str">
        <f t="shared" si="53"/>
        <v>SUBDIRECCION DE GESTION CONTRACTUAL</v>
      </c>
      <c r="V169" s="185" t="str">
        <f t="shared" si="54"/>
        <v>CO-DC</v>
      </c>
      <c r="W169" s="198" t="str">
        <f t="shared" si="55"/>
        <v>Distrito Capital de Bogotá</v>
      </c>
      <c r="X169" s="199" t="s">
        <v>299</v>
      </c>
      <c r="Y169" s="185">
        <v>2427400</v>
      </c>
      <c r="Z169" s="200" t="s">
        <v>300</v>
      </c>
    </row>
    <row r="170" spans="1:26" s="7" customFormat="1" ht="12.75" customHeight="1" x14ac:dyDescent="0.2">
      <c r="A170" s="184" t="s">
        <v>285</v>
      </c>
      <c r="B170" s="185">
        <v>10</v>
      </c>
      <c r="C170" s="186" t="s">
        <v>293</v>
      </c>
      <c r="D170" s="186" t="s">
        <v>287</v>
      </c>
      <c r="E170" s="187"/>
      <c r="F170" s="187">
        <f>229777840-229777840</f>
        <v>0</v>
      </c>
      <c r="G170" s="187"/>
      <c r="H170" s="188" t="s">
        <v>301</v>
      </c>
      <c r="I170" s="189" t="s">
        <v>302</v>
      </c>
      <c r="J170" s="190">
        <v>4</v>
      </c>
      <c r="K170" s="214">
        <v>6</v>
      </c>
      <c r="L170" s="192">
        <v>6</v>
      </c>
      <c r="M170" s="185">
        <f t="shared" si="50"/>
        <v>1</v>
      </c>
      <c r="N170" s="193" t="s">
        <v>296</v>
      </c>
      <c r="O170" s="194" t="s">
        <v>904</v>
      </c>
      <c r="P170" s="195">
        <f t="shared" si="51"/>
        <v>1</v>
      </c>
      <c r="Q170" s="196">
        <f t="shared" si="56"/>
        <v>0</v>
      </c>
      <c r="R170" s="196">
        <f t="shared" si="57"/>
        <v>0</v>
      </c>
      <c r="S170" s="197" t="s">
        <v>217</v>
      </c>
      <c r="T170" s="193">
        <f t="shared" si="52"/>
        <v>0</v>
      </c>
      <c r="U170" s="198" t="str">
        <f t="shared" si="53"/>
        <v>SUBDIRECCION DE GESTION CONTRACTUAL</v>
      </c>
      <c r="V170" s="185" t="str">
        <f t="shared" si="54"/>
        <v>CO-DC</v>
      </c>
      <c r="W170" s="198" t="str">
        <f t="shared" si="55"/>
        <v>Distrito Capital de Bogotá</v>
      </c>
      <c r="X170" s="199" t="s">
        <v>81</v>
      </c>
      <c r="Y170" s="185">
        <v>2427400</v>
      </c>
      <c r="Z170" s="200" t="s">
        <v>82</v>
      </c>
    </row>
    <row r="171" spans="1:26" s="7" customFormat="1" ht="12.75" customHeight="1" x14ac:dyDescent="0.2">
      <c r="A171" s="184" t="s">
        <v>285</v>
      </c>
      <c r="B171" s="185">
        <v>11</v>
      </c>
      <c r="C171" s="186" t="s">
        <v>293</v>
      </c>
      <c r="D171" s="186" t="s">
        <v>287</v>
      </c>
      <c r="E171" s="187"/>
      <c r="F171" s="187">
        <f>150000000-50000000</f>
        <v>100000000</v>
      </c>
      <c r="G171" s="187"/>
      <c r="H171" s="188" t="s">
        <v>225</v>
      </c>
      <c r="I171" s="189" t="s">
        <v>303</v>
      </c>
      <c r="J171" s="258">
        <v>7</v>
      </c>
      <c r="K171" s="258">
        <v>9</v>
      </c>
      <c r="L171" s="258">
        <v>3</v>
      </c>
      <c r="M171" s="185">
        <f t="shared" si="50"/>
        <v>1</v>
      </c>
      <c r="N171" s="193" t="s">
        <v>61</v>
      </c>
      <c r="O171" s="194" t="s">
        <v>902</v>
      </c>
      <c r="P171" s="195">
        <f t="shared" si="51"/>
        <v>1</v>
      </c>
      <c r="Q171" s="196">
        <f t="shared" si="56"/>
        <v>100000000</v>
      </c>
      <c r="R171" s="196">
        <f t="shared" si="57"/>
        <v>100000000</v>
      </c>
      <c r="S171" s="197" t="s">
        <v>217</v>
      </c>
      <c r="T171" s="193">
        <f t="shared" si="52"/>
        <v>0</v>
      </c>
      <c r="U171" s="198" t="str">
        <f t="shared" si="53"/>
        <v>SUBDIRECCION DE GESTION CONTRACTUAL</v>
      </c>
      <c r="V171" s="185" t="str">
        <f t="shared" si="54"/>
        <v>CO-DC</v>
      </c>
      <c r="W171" s="198" t="str">
        <f t="shared" si="55"/>
        <v>Distrito Capital de Bogotá</v>
      </c>
      <c r="X171" s="199" t="s">
        <v>974</v>
      </c>
      <c r="Y171" s="185">
        <v>2427400</v>
      </c>
      <c r="Z171" s="248" t="s">
        <v>885</v>
      </c>
    </row>
    <row r="172" spans="1:26" s="7" customFormat="1" ht="12.75" customHeight="1" x14ac:dyDescent="0.2">
      <c r="A172" s="184" t="s">
        <v>94</v>
      </c>
      <c r="B172" s="185">
        <v>1</v>
      </c>
      <c r="C172" s="186" t="s">
        <v>304</v>
      </c>
      <c r="D172" s="186" t="s">
        <v>95</v>
      </c>
      <c r="E172" s="187"/>
      <c r="F172" s="187">
        <v>122000000</v>
      </c>
      <c r="G172" s="187"/>
      <c r="H172" s="188">
        <v>80111600</v>
      </c>
      <c r="I172" s="189" t="s">
        <v>305</v>
      </c>
      <c r="J172" s="190">
        <v>1</v>
      </c>
      <c r="K172" s="191">
        <v>1</v>
      </c>
      <c r="L172" s="192">
        <v>12</v>
      </c>
      <c r="M172" s="185">
        <f t="shared" si="50"/>
        <v>1</v>
      </c>
      <c r="N172" s="193" t="s">
        <v>210</v>
      </c>
      <c r="O172" s="194" t="s">
        <v>264</v>
      </c>
      <c r="P172" s="195">
        <f t="shared" si="51"/>
        <v>1</v>
      </c>
      <c r="Q172" s="196">
        <f t="shared" si="56"/>
        <v>122000000</v>
      </c>
      <c r="R172" s="196">
        <f t="shared" si="57"/>
        <v>122000000</v>
      </c>
      <c r="S172" s="197" t="s">
        <v>217</v>
      </c>
      <c r="T172" s="193">
        <f t="shared" si="52"/>
        <v>0</v>
      </c>
      <c r="U172" s="198" t="str">
        <f t="shared" si="53"/>
        <v>SUBDIRECCION DE GESTION CONTRACTUAL</v>
      </c>
      <c r="V172" s="185" t="str">
        <f t="shared" si="54"/>
        <v>CO-DC</v>
      </c>
      <c r="W172" s="198" t="str">
        <f t="shared" si="55"/>
        <v>Distrito Capital de Bogotá</v>
      </c>
      <c r="X172" s="199" t="s">
        <v>586</v>
      </c>
      <c r="Y172" s="185">
        <v>2427400</v>
      </c>
      <c r="Z172" s="200" t="s">
        <v>96</v>
      </c>
    </row>
    <row r="173" spans="1:26" s="7" customFormat="1" ht="12.75" customHeight="1" x14ac:dyDescent="0.2">
      <c r="A173" s="184" t="s">
        <v>94</v>
      </c>
      <c r="B173" s="185">
        <v>2</v>
      </c>
      <c r="C173" s="186" t="s">
        <v>304</v>
      </c>
      <c r="D173" s="186" t="s">
        <v>95</v>
      </c>
      <c r="E173" s="187"/>
      <c r="F173" s="187">
        <v>235000000</v>
      </c>
      <c r="G173" s="187"/>
      <c r="H173" s="188">
        <v>80111600</v>
      </c>
      <c r="I173" s="189" t="s">
        <v>305</v>
      </c>
      <c r="J173" s="190">
        <v>1</v>
      </c>
      <c r="K173" s="191">
        <v>1</v>
      </c>
      <c r="L173" s="192">
        <v>12</v>
      </c>
      <c r="M173" s="185">
        <f t="shared" si="50"/>
        <v>1</v>
      </c>
      <c r="N173" s="193" t="s">
        <v>210</v>
      </c>
      <c r="O173" s="194" t="s">
        <v>264</v>
      </c>
      <c r="P173" s="195">
        <f t="shared" si="51"/>
        <v>1</v>
      </c>
      <c r="Q173" s="196">
        <f t="shared" si="56"/>
        <v>235000000</v>
      </c>
      <c r="R173" s="196">
        <f t="shared" si="57"/>
        <v>235000000</v>
      </c>
      <c r="S173" s="197" t="s">
        <v>217</v>
      </c>
      <c r="T173" s="193">
        <f t="shared" si="52"/>
        <v>0</v>
      </c>
      <c r="U173" s="198" t="str">
        <f t="shared" si="53"/>
        <v>SUBDIRECCION DE GESTION CONTRACTUAL</v>
      </c>
      <c r="V173" s="185" t="str">
        <f t="shared" si="54"/>
        <v>CO-DC</v>
      </c>
      <c r="W173" s="198" t="str">
        <f t="shared" si="55"/>
        <v>Distrito Capital de Bogotá</v>
      </c>
      <c r="X173" s="199" t="s">
        <v>586</v>
      </c>
      <c r="Y173" s="185">
        <v>2427400</v>
      </c>
      <c r="Z173" s="200" t="s">
        <v>96</v>
      </c>
    </row>
    <row r="174" spans="1:26" s="7" customFormat="1" ht="12.75" customHeight="1" x14ac:dyDescent="0.2">
      <c r="A174" s="184" t="s">
        <v>94</v>
      </c>
      <c r="B174" s="185">
        <v>3</v>
      </c>
      <c r="C174" s="186" t="s">
        <v>306</v>
      </c>
      <c r="D174" s="186" t="s">
        <v>95</v>
      </c>
      <c r="E174" s="187"/>
      <c r="F174" s="187">
        <v>65000000</v>
      </c>
      <c r="G174" s="187"/>
      <c r="H174" s="188">
        <v>80111600</v>
      </c>
      <c r="I174" s="189" t="s">
        <v>305</v>
      </c>
      <c r="J174" s="190">
        <v>1</v>
      </c>
      <c r="K174" s="191">
        <v>1</v>
      </c>
      <c r="L174" s="192">
        <v>12</v>
      </c>
      <c r="M174" s="185">
        <f t="shared" si="50"/>
        <v>1</v>
      </c>
      <c r="N174" s="193" t="s">
        <v>210</v>
      </c>
      <c r="O174" s="194" t="s">
        <v>264</v>
      </c>
      <c r="P174" s="195">
        <f t="shared" si="51"/>
        <v>1</v>
      </c>
      <c r="Q174" s="196">
        <f t="shared" si="56"/>
        <v>65000000</v>
      </c>
      <c r="R174" s="196">
        <f t="shared" si="57"/>
        <v>65000000</v>
      </c>
      <c r="S174" s="197" t="s">
        <v>217</v>
      </c>
      <c r="T174" s="193">
        <f t="shared" si="52"/>
        <v>0</v>
      </c>
      <c r="U174" s="198" t="str">
        <f t="shared" si="53"/>
        <v>SUBDIRECCION DE GESTION CONTRACTUAL</v>
      </c>
      <c r="V174" s="185" t="str">
        <f t="shared" si="54"/>
        <v>CO-DC</v>
      </c>
      <c r="W174" s="198" t="str">
        <f t="shared" si="55"/>
        <v>Distrito Capital de Bogotá</v>
      </c>
      <c r="X174" s="199" t="s">
        <v>586</v>
      </c>
      <c r="Y174" s="185">
        <v>2427400</v>
      </c>
      <c r="Z174" s="200" t="s">
        <v>96</v>
      </c>
    </row>
    <row r="175" spans="1:26" s="7" customFormat="1" ht="12.75" customHeight="1" x14ac:dyDescent="0.2">
      <c r="A175" s="184" t="s">
        <v>94</v>
      </c>
      <c r="B175" s="185">
        <v>4</v>
      </c>
      <c r="C175" s="186" t="s">
        <v>307</v>
      </c>
      <c r="D175" s="186" t="s">
        <v>95</v>
      </c>
      <c r="E175" s="187"/>
      <c r="F175" s="187">
        <v>24500000</v>
      </c>
      <c r="G175" s="187"/>
      <c r="H175" s="188" t="s">
        <v>101</v>
      </c>
      <c r="I175" s="189" t="s">
        <v>550</v>
      </c>
      <c r="J175" s="190">
        <v>2</v>
      </c>
      <c r="K175" s="191">
        <v>3</v>
      </c>
      <c r="L175" s="192">
        <v>10</v>
      </c>
      <c r="M175" s="185">
        <f t="shared" si="50"/>
        <v>1</v>
      </c>
      <c r="N175" s="193" t="s">
        <v>36</v>
      </c>
      <c r="O175" s="194" t="s">
        <v>256</v>
      </c>
      <c r="P175" s="195">
        <f t="shared" si="51"/>
        <v>1</v>
      </c>
      <c r="Q175" s="196">
        <f t="shared" si="56"/>
        <v>24500000</v>
      </c>
      <c r="R175" s="196">
        <f t="shared" si="57"/>
        <v>24500000</v>
      </c>
      <c r="S175" s="197" t="s">
        <v>217</v>
      </c>
      <c r="T175" s="193">
        <f t="shared" si="52"/>
        <v>0</v>
      </c>
      <c r="U175" s="198" t="str">
        <f t="shared" si="53"/>
        <v>SUBDIRECCION DE GESTION CONTRACTUAL</v>
      </c>
      <c r="V175" s="185" t="str">
        <f t="shared" si="54"/>
        <v>CO-DC</v>
      </c>
      <c r="W175" s="198" t="str">
        <f t="shared" si="55"/>
        <v>Distrito Capital de Bogotá</v>
      </c>
      <c r="X175" s="199" t="s">
        <v>586</v>
      </c>
      <c r="Y175" s="185">
        <v>2427400</v>
      </c>
      <c r="Z175" s="200" t="s">
        <v>96</v>
      </c>
    </row>
    <row r="176" spans="1:26" s="7" customFormat="1" ht="12.75" customHeight="1" x14ac:dyDescent="0.2">
      <c r="A176" s="184" t="s">
        <v>94</v>
      </c>
      <c r="B176" s="185">
        <v>5</v>
      </c>
      <c r="C176" s="186" t="s">
        <v>307</v>
      </c>
      <c r="D176" s="186" t="s">
        <v>95</v>
      </c>
      <c r="E176" s="187"/>
      <c r="F176" s="187">
        <v>54500000</v>
      </c>
      <c r="G176" s="187"/>
      <c r="H176" s="188" t="s">
        <v>565</v>
      </c>
      <c r="I176" s="189" t="s">
        <v>566</v>
      </c>
      <c r="J176" s="190">
        <v>2</v>
      </c>
      <c r="K176" s="191">
        <v>2</v>
      </c>
      <c r="L176" s="192">
        <v>10</v>
      </c>
      <c r="M176" s="185">
        <f t="shared" si="50"/>
        <v>1</v>
      </c>
      <c r="N176" s="193" t="s">
        <v>36</v>
      </c>
      <c r="O176" s="194" t="s">
        <v>256</v>
      </c>
      <c r="P176" s="195">
        <f t="shared" si="51"/>
        <v>1</v>
      </c>
      <c r="Q176" s="196">
        <f t="shared" si="56"/>
        <v>54500000</v>
      </c>
      <c r="R176" s="196">
        <f t="shared" si="57"/>
        <v>54500000</v>
      </c>
      <c r="S176" s="197" t="s">
        <v>217</v>
      </c>
      <c r="T176" s="193">
        <f t="shared" si="52"/>
        <v>0</v>
      </c>
      <c r="U176" s="198" t="str">
        <f t="shared" si="53"/>
        <v>SUBDIRECCION DE GESTION CONTRACTUAL</v>
      </c>
      <c r="V176" s="185" t="str">
        <f t="shared" si="54"/>
        <v>CO-DC</v>
      </c>
      <c r="W176" s="198" t="str">
        <f t="shared" si="55"/>
        <v>Distrito Capital de Bogotá</v>
      </c>
      <c r="X176" s="199" t="s">
        <v>299</v>
      </c>
      <c r="Y176" s="185">
        <v>2427400</v>
      </c>
      <c r="Z176" s="200" t="s">
        <v>92</v>
      </c>
    </row>
    <row r="177" spans="1:16382" s="7" customFormat="1" ht="12.75" customHeight="1" x14ac:dyDescent="0.2">
      <c r="A177" s="184" t="s">
        <v>94</v>
      </c>
      <c r="B177" s="185">
        <v>6</v>
      </c>
      <c r="C177" s="186" t="s">
        <v>307</v>
      </c>
      <c r="D177" s="186" t="s">
        <v>95</v>
      </c>
      <c r="E177" s="187"/>
      <c r="F177" s="187">
        <f>390000000-24500000-54500000-96000000</f>
        <v>215000000</v>
      </c>
      <c r="G177" s="187"/>
      <c r="H177" s="188" t="s">
        <v>710</v>
      </c>
      <c r="I177" s="189" t="s">
        <v>308</v>
      </c>
      <c r="J177" s="190">
        <v>2</v>
      </c>
      <c r="K177" s="191">
        <v>3</v>
      </c>
      <c r="L177" s="192">
        <v>9</v>
      </c>
      <c r="M177" s="185">
        <f t="shared" si="50"/>
        <v>1</v>
      </c>
      <c r="N177" s="193" t="s">
        <v>221</v>
      </c>
      <c r="O177" s="194" t="s">
        <v>903</v>
      </c>
      <c r="P177" s="195">
        <f t="shared" si="51"/>
        <v>1</v>
      </c>
      <c r="Q177" s="196">
        <f t="shared" si="56"/>
        <v>215000000</v>
      </c>
      <c r="R177" s="196">
        <f t="shared" si="57"/>
        <v>215000000</v>
      </c>
      <c r="S177" s="197" t="s">
        <v>217</v>
      </c>
      <c r="T177" s="193">
        <f t="shared" si="52"/>
        <v>0</v>
      </c>
      <c r="U177" s="198" t="str">
        <f t="shared" si="53"/>
        <v>SUBDIRECCION DE GESTION CONTRACTUAL</v>
      </c>
      <c r="V177" s="185" t="str">
        <f t="shared" si="54"/>
        <v>CO-DC</v>
      </c>
      <c r="W177" s="198" t="str">
        <f t="shared" si="55"/>
        <v>Distrito Capital de Bogotá</v>
      </c>
      <c r="X177" s="199" t="s">
        <v>586</v>
      </c>
      <c r="Y177" s="185">
        <v>2427400</v>
      </c>
      <c r="Z177" s="200" t="s">
        <v>96</v>
      </c>
    </row>
    <row r="178" spans="1:16382" s="7" customFormat="1" ht="12.75" customHeight="1" x14ac:dyDescent="0.2">
      <c r="A178" s="184" t="s">
        <v>94</v>
      </c>
      <c r="B178" s="185">
        <v>7</v>
      </c>
      <c r="C178" s="186" t="s">
        <v>307</v>
      </c>
      <c r="D178" s="186" t="s">
        <v>95</v>
      </c>
      <c r="E178" s="187"/>
      <c r="F178" s="187">
        <v>170000000</v>
      </c>
      <c r="G178" s="187"/>
      <c r="H178" s="188">
        <v>80111600</v>
      </c>
      <c r="I178" s="189" t="s">
        <v>305</v>
      </c>
      <c r="J178" s="190">
        <v>1</v>
      </c>
      <c r="K178" s="191">
        <v>1</v>
      </c>
      <c r="L178" s="192">
        <v>12</v>
      </c>
      <c r="M178" s="185">
        <f t="shared" si="50"/>
        <v>1</v>
      </c>
      <c r="N178" s="193" t="s">
        <v>210</v>
      </c>
      <c r="O178" s="194" t="s">
        <v>264</v>
      </c>
      <c r="P178" s="195">
        <f t="shared" si="51"/>
        <v>1</v>
      </c>
      <c r="Q178" s="196">
        <f t="shared" si="56"/>
        <v>170000000</v>
      </c>
      <c r="R178" s="196">
        <f t="shared" si="57"/>
        <v>170000000</v>
      </c>
      <c r="S178" s="197" t="s">
        <v>217</v>
      </c>
      <c r="T178" s="193">
        <f t="shared" si="52"/>
        <v>0</v>
      </c>
      <c r="U178" s="198" t="str">
        <f t="shared" si="53"/>
        <v>SUBDIRECCION DE GESTION CONTRACTUAL</v>
      </c>
      <c r="V178" s="185" t="str">
        <f t="shared" si="54"/>
        <v>CO-DC</v>
      </c>
      <c r="W178" s="198" t="str">
        <f t="shared" si="55"/>
        <v>Distrito Capital de Bogotá</v>
      </c>
      <c r="X178" s="199" t="s">
        <v>586</v>
      </c>
      <c r="Y178" s="185">
        <v>2427400</v>
      </c>
      <c r="Z178" s="200" t="s">
        <v>96</v>
      </c>
    </row>
    <row r="179" spans="1:16382" s="7" customFormat="1" ht="12.75" customHeight="1" x14ac:dyDescent="0.2">
      <c r="A179" s="184" t="s">
        <v>94</v>
      </c>
      <c r="B179" s="185">
        <v>8</v>
      </c>
      <c r="C179" s="186" t="s">
        <v>307</v>
      </c>
      <c r="D179" s="186" t="s">
        <v>95</v>
      </c>
      <c r="E179" s="187">
        <v>43196200</v>
      </c>
      <c r="F179" s="187">
        <f>96000000-E179</f>
        <v>52803800</v>
      </c>
      <c r="G179" s="187"/>
      <c r="H179" s="188" t="s">
        <v>42</v>
      </c>
      <c r="I179" s="189" t="s">
        <v>309</v>
      </c>
      <c r="J179" s="190">
        <v>3</v>
      </c>
      <c r="K179" s="191">
        <v>4</v>
      </c>
      <c r="L179" s="192">
        <v>9</v>
      </c>
      <c r="M179" s="185">
        <f t="shared" si="50"/>
        <v>1</v>
      </c>
      <c r="N179" s="193" t="s">
        <v>61</v>
      </c>
      <c r="O179" s="194" t="s">
        <v>902</v>
      </c>
      <c r="P179" s="195">
        <f t="shared" si="51"/>
        <v>1</v>
      </c>
      <c r="Q179" s="196">
        <f t="shared" si="56"/>
        <v>96000000</v>
      </c>
      <c r="R179" s="196">
        <f t="shared" si="57"/>
        <v>52803800</v>
      </c>
      <c r="S179" s="197" t="s">
        <v>217</v>
      </c>
      <c r="T179" s="193">
        <f t="shared" si="52"/>
        <v>0</v>
      </c>
      <c r="U179" s="198" t="str">
        <f t="shared" si="53"/>
        <v>SUBDIRECCION DE GESTION CONTRACTUAL</v>
      </c>
      <c r="V179" s="185" t="str">
        <f t="shared" si="54"/>
        <v>CO-DC</v>
      </c>
      <c r="W179" s="198" t="str">
        <f t="shared" si="55"/>
        <v>Distrito Capital de Bogotá</v>
      </c>
      <c r="X179" s="199" t="s">
        <v>586</v>
      </c>
      <c r="Y179" s="185">
        <v>2427400</v>
      </c>
      <c r="Z179" s="200" t="s">
        <v>96</v>
      </c>
    </row>
    <row r="180" spans="1:16382" s="7" customFormat="1" ht="12.75" customHeight="1" x14ac:dyDescent="0.2">
      <c r="A180" s="184" t="s">
        <v>94</v>
      </c>
      <c r="B180" s="185">
        <v>9</v>
      </c>
      <c r="C180" s="186" t="s">
        <v>310</v>
      </c>
      <c r="D180" s="186" t="s">
        <v>95</v>
      </c>
      <c r="E180" s="187"/>
      <c r="F180" s="187">
        <v>355000000</v>
      </c>
      <c r="G180" s="187"/>
      <c r="H180" s="188" t="s">
        <v>852</v>
      </c>
      <c r="I180" s="189" t="s">
        <v>853</v>
      </c>
      <c r="J180" s="190">
        <v>5</v>
      </c>
      <c r="K180" s="190">
        <v>5</v>
      </c>
      <c r="L180" s="192">
        <v>7</v>
      </c>
      <c r="M180" s="185">
        <f t="shared" si="50"/>
        <v>1</v>
      </c>
      <c r="N180" s="193" t="s">
        <v>36</v>
      </c>
      <c r="O180" s="194" t="s">
        <v>256</v>
      </c>
      <c r="P180" s="195">
        <f t="shared" si="51"/>
        <v>1</v>
      </c>
      <c r="Q180" s="196">
        <f t="shared" si="56"/>
        <v>355000000</v>
      </c>
      <c r="R180" s="196">
        <f t="shared" si="57"/>
        <v>355000000</v>
      </c>
      <c r="S180" s="197" t="s">
        <v>217</v>
      </c>
      <c r="T180" s="193">
        <f t="shared" si="52"/>
        <v>0</v>
      </c>
      <c r="U180" s="198" t="str">
        <f t="shared" si="53"/>
        <v>SUBDIRECCION DE GESTION CONTRACTUAL</v>
      </c>
      <c r="V180" s="185" t="str">
        <f t="shared" si="54"/>
        <v>CO-DC</v>
      </c>
      <c r="W180" s="198" t="str">
        <f t="shared" si="55"/>
        <v>Distrito Capital de Bogotá</v>
      </c>
      <c r="X180" s="199" t="s">
        <v>586</v>
      </c>
      <c r="Y180" s="185">
        <v>2427400</v>
      </c>
      <c r="Z180" s="200" t="s">
        <v>96</v>
      </c>
    </row>
    <row r="181" spans="1:16382" s="7" customFormat="1" ht="12.75" customHeight="1" x14ac:dyDescent="0.2">
      <c r="A181" s="184" t="s">
        <v>94</v>
      </c>
      <c r="B181" s="185">
        <v>10</v>
      </c>
      <c r="C181" s="186" t="s">
        <v>310</v>
      </c>
      <c r="D181" s="186" t="s">
        <v>765</v>
      </c>
      <c r="E181" s="187"/>
      <c r="F181" s="187">
        <f>950000000-100000000</f>
        <v>850000000</v>
      </c>
      <c r="G181" s="187"/>
      <c r="H181" s="188" t="s">
        <v>852</v>
      </c>
      <c r="I181" s="189" t="s">
        <v>853</v>
      </c>
      <c r="J181" s="190">
        <v>5</v>
      </c>
      <c r="K181" s="190">
        <v>5</v>
      </c>
      <c r="L181" s="192">
        <v>7</v>
      </c>
      <c r="M181" s="185">
        <f t="shared" si="50"/>
        <v>1</v>
      </c>
      <c r="N181" s="193" t="s">
        <v>36</v>
      </c>
      <c r="O181" s="194" t="s">
        <v>256</v>
      </c>
      <c r="P181" s="195">
        <f t="shared" si="51"/>
        <v>1</v>
      </c>
      <c r="Q181" s="196">
        <f t="shared" si="56"/>
        <v>850000000</v>
      </c>
      <c r="R181" s="196">
        <f t="shared" si="57"/>
        <v>850000000</v>
      </c>
      <c r="S181" s="197" t="s">
        <v>217</v>
      </c>
      <c r="T181" s="193">
        <f t="shared" si="52"/>
        <v>0</v>
      </c>
      <c r="U181" s="198" t="str">
        <f t="shared" si="53"/>
        <v>SUBDIRECCION DE GESTION CONTRACTUAL</v>
      </c>
      <c r="V181" s="185" t="str">
        <f t="shared" si="54"/>
        <v>CO-DC</v>
      </c>
      <c r="W181" s="198" t="str">
        <f t="shared" si="55"/>
        <v>Distrito Capital de Bogotá</v>
      </c>
      <c r="X181" s="199" t="s">
        <v>586</v>
      </c>
      <c r="Y181" s="185">
        <v>2427400</v>
      </c>
      <c r="Z181" s="200" t="s">
        <v>96</v>
      </c>
    </row>
    <row r="182" spans="1:16382" s="7" customFormat="1" ht="12.75" customHeight="1" x14ac:dyDescent="0.2">
      <c r="A182" s="184" t="s">
        <v>94</v>
      </c>
      <c r="B182" s="185">
        <v>11</v>
      </c>
      <c r="C182" s="186" t="s">
        <v>312</v>
      </c>
      <c r="D182" s="186" t="s">
        <v>765</v>
      </c>
      <c r="E182" s="187"/>
      <c r="F182" s="187">
        <v>168150363</v>
      </c>
      <c r="G182" s="187"/>
      <c r="H182" s="188" t="s">
        <v>852</v>
      </c>
      <c r="I182" s="189" t="s">
        <v>853</v>
      </c>
      <c r="J182" s="190">
        <v>5</v>
      </c>
      <c r="K182" s="190">
        <v>5</v>
      </c>
      <c r="L182" s="192">
        <v>7</v>
      </c>
      <c r="M182" s="185">
        <f t="shared" si="50"/>
        <v>1</v>
      </c>
      <c r="N182" s="193" t="s">
        <v>36</v>
      </c>
      <c r="O182" s="194" t="s">
        <v>256</v>
      </c>
      <c r="P182" s="195">
        <f t="shared" si="51"/>
        <v>1</v>
      </c>
      <c r="Q182" s="196">
        <f t="shared" si="56"/>
        <v>168150363</v>
      </c>
      <c r="R182" s="196">
        <f t="shared" si="57"/>
        <v>168150363</v>
      </c>
      <c r="S182" s="197" t="s">
        <v>217</v>
      </c>
      <c r="T182" s="193">
        <f t="shared" si="52"/>
        <v>0</v>
      </c>
      <c r="U182" s="198" t="str">
        <f t="shared" si="53"/>
        <v>SUBDIRECCION DE GESTION CONTRACTUAL</v>
      </c>
      <c r="V182" s="185" t="str">
        <f t="shared" si="54"/>
        <v>CO-DC</v>
      </c>
      <c r="W182" s="198" t="str">
        <f t="shared" si="55"/>
        <v>Distrito Capital de Bogotá</v>
      </c>
      <c r="X182" s="199" t="s">
        <v>586</v>
      </c>
      <c r="Y182" s="185">
        <v>2427400</v>
      </c>
      <c r="Z182" s="200" t="s">
        <v>96</v>
      </c>
    </row>
    <row r="183" spans="1:16382" s="7" customFormat="1" ht="12.75" customHeight="1" x14ac:dyDescent="0.2">
      <c r="A183" s="184" t="s">
        <v>94</v>
      </c>
      <c r="B183" s="185">
        <v>12</v>
      </c>
      <c r="C183" s="186" t="s">
        <v>312</v>
      </c>
      <c r="D183" s="186" t="s">
        <v>95</v>
      </c>
      <c r="E183" s="187"/>
      <c r="F183" s="187">
        <v>97800000</v>
      </c>
      <c r="G183" s="187"/>
      <c r="H183" s="188">
        <v>80111600</v>
      </c>
      <c r="I183" s="189" t="s">
        <v>305</v>
      </c>
      <c r="J183" s="190">
        <v>1</v>
      </c>
      <c r="K183" s="191">
        <v>1</v>
      </c>
      <c r="L183" s="192">
        <v>12</v>
      </c>
      <c r="M183" s="185">
        <f t="shared" si="50"/>
        <v>1</v>
      </c>
      <c r="N183" s="193" t="s">
        <v>210</v>
      </c>
      <c r="O183" s="194" t="s">
        <v>264</v>
      </c>
      <c r="P183" s="195">
        <f t="shared" si="51"/>
        <v>1</v>
      </c>
      <c r="Q183" s="196">
        <f t="shared" si="56"/>
        <v>97800000</v>
      </c>
      <c r="R183" s="196">
        <f t="shared" si="57"/>
        <v>97800000</v>
      </c>
      <c r="S183" s="197" t="s">
        <v>217</v>
      </c>
      <c r="T183" s="193">
        <f t="shared" si="52"/>
        <v>0</v>
      </c>
      <c r="U183" s="198" t="str">
        <f t="shared" si="53"/>
        <v>SUBDIRECCION DE GESTION CONTRACTUAL</v>
      </c>
      <c r="V183" s="185" t="str">
        <f t="shared" si="54"/>
        <v>CO-DC</v>
      </c>
      <c r="W183" s="198" t="str">
        <f t="shared" si="55"/>
        <v>Distrito Capital de Bogotá</v>
      </c>
      <c r="X183" s="199" t="s">
        <v>586</v>
      </c>
      <c r="Y183" s="185">
        <v>2427400</v>
      </c>
      <c r="Z183" s="200" t="s">
        <v>96</v>
      </c>
    </row>
    <row r="184" spans="1:16382" s="7" customFormat="1" ht="12.75" customHeight="1" x14ac:dyDescent="0.2">
      <c r="A184" s="184" t="s">
        <v>94</v>
      </c>
      <c r="B184" s="185">
        <v>13</v>
      </c>
      <c r="C184" s="186" t="s">
        <v>312</v>
      </c>
      <c r="D184" s="186" t="s">
        <v>765</v>
      </c>
      <c r="E184" s="187"/>
      <c r="F184" s="187">
        <f>206849637+131000000</f>
        <v>337849637</v>
      </c>
      <c r="G184" s="187"/>
      <c r="H184" s="188">
        <v>80111600</v>
      </c>
      <c r="I184" s="189" t="s">
        <v>305</v>
      </c>
      <c r="J184" s="190">
        <v>1</v>
      </c>
      <c r="K184" s="191">
        <v>1</v>
      </c>
      <c r="L184" s="192">
        <v>12</v>
      </c>
      <c r="M184" s="185">
        <f t="shared" si="50"/>
        <v>1</v>
      </c>
      <c r="N184" s="193" t="s">
        <v>210</v>
      </c>
      <c r="O184" s="194" t="s">
        <v>264</v>
      </c>
      <c r="P184" s="195">
        <f t="shared" si="51"/>
        <v>1</v>
      </c>
      <c r="Q184" s="196">
        <f t="shared" si="56"/>
        <v>337849637</v>
      </c>
      <c r="R184" s="196">
        <f t="shared" si="57"/>
        <v>337849637</v>
      </c>
      <c r="S184" s="197" t="s">
        <v>217</v>
      </c>
      <c r="T184" s="193">
        <f t="shared" si="52"/>
        <v>0</v>
      </c>
      <c r="U184" s="198" t="str">
        <f t="shared" si="53"/>
        <v>SUBDIRECCION DE GESTION CONTRACTUAL</v>
      </c>
      <c r="V184" s="185" t="str">
        <f t="shared" si="54"/>
        <v>CO-DC</v>
      </c>
      <c r="W184" s="198" t="str">
        <f t="shared" si="55"/>
        <v>Distrito Capital de Bogotá</v>
      </c>
      <c r="X184" s="199" t="s">
        <v>586</v>
      </c>
      <c r="Y184" s="185">
        <v>2427400</v>
      </c>
      <c r="Z184" s="200" t="s">
        <v>96</v>
      </c>
    </row>
    <row r="185" spans="1:16382" s="7" customFormat="1" ht="23.25" customHeight="1" x14ac:dyDescent="0.2">
      <c r="A185" s="184" t="s">
        <v>94</v>
      </c>
      <c r="B185" s="185">
        <v>14</v>
      </c>
      <c r="C185" s="186" t="s">
        <v>313</v>
      </c>
      <c r="D185" s="186" t="s">
        <v>765</v>
      </c>
      <c r="E185" s="187"/>
      <c r="F185" s="187">
        <v>288256034</v>
      </c>
      <c r="G185" s="187"/>
      <c r="H185" s="188" t="s">
        <v>710</v>
      </c>
      <c r="I185" s="189" t="s">
        <v>308</v>
      </c>
      <c r="J185" s="190">
        <v>2</v>
      </c>
      <c r="K185" s="191">
        <v>3</v>
      </c>
      <c r="L185" s="192">
        <v>9</v>
      </c>
      <c r="M185" s="185">
        <f t="shared" si="50"/>
        <v>1</v>
      </c>
      <c r="N185" s="193" t="s">
        <v>221</v>
      </c>
      <c r="O185" s="194" t="s">
        <v>903</v>
      </c>
      <c r="P185" s="195">
        <f t="shared" si="51"/>
        <v>1</v>
      </c>
      <c r="Q185" s="196">
        <f t="shared" si="56"/>
        <v>288256034</v>
      </c>
      <c r="R185" s="196">
        <f t="shared" si="57"/>
        <v>288256034</v>
      </c>
      <c r="S185" s="197" t="s">
        <v>217</v>
      </c>
      <c r="T185" s="193">
        <f t="shared" si="52"/>
        <v>0</v>
      </c>
      <c r="U185" s="198" t="str">
        <f t="shared" si="53"/>
        <v>SUBDIRECCION DE GESTION CONTRACTUAL</v>
      </c>
      <c r="V185" s="185" t="str">
        <f t="shared" si="54"/>
        <v>CO-DC</v>
      </c>
      <c r="W185" s="198" t="str">
        <f t="shared" si="55"/>
        <v>Distrito Capital de Bogotá</v>
      </c>
      <c r="X185" s="199" t="s">
        <v>586</v>
      </c>
      <c r="Y185" s="185">
        <v>2427400</v>
      </c>
      <c r="Z185" s="200" t="s">
        <v>96</v>
      </c>
    </row>
    <row r="186" spans="1:16382" s="133" customFormat="1" ht="15" customHeight="1" x14ac:dyDescent="0.2">
      <c r="A186" s="184" t="s">
        <v>94</v>
      </c>
      <c r="B186" s="185">
        <v>15</v>
      </c>
      <c r="C186" s="186" t="s">
        <v>313</v>
      </c>
      <c r="D186" s="186" t="s">
        <v>765</v>
      </c>
      <c r="E186" s="187"/>
      <c r="F186" s="187">
        <v>261743966</v>
      </c>
      <c r="G186" s="187"/>
      <c r="H186" s="188">
        <v>80111600</v>
      </c>
      <c r="I186" s="189" t="s">
        <v>305</v>
      </c>
      <c r="J186" s="190">
        <v>1</v>
      </c>
      <c r="K186" s="191">
        <v>1</v>
      </c>
      <c r="L186" s="192">
        <v>12</v>
      </c>
      <c r="M186" s="185">
        <f t="shared" si="50"/>
        <v>1</v>
      </c>
      <c r="N186" s="193" t="s">
        <v>210</v>
      </c>
      <c r="O186" s="194" t="s">
        <v>264</v>
      </c>
      <c r="P186" s="195">
        <f t="shared" si="51"/>
        <v>1</v>
      </c>
      <c r="Q186" s="196">
        <f t="shared" si="56"/>
        <v>261743966</v>
      </c>
      <c r="R186" s="196">
        <f t="shared" si="57"/>
        <v>261743966</v>
      </c>
      <c r="S186" s="197" t="s">
        <v>217</v>
      </c>
      <c r="T186" s="193">
        <f t="shared" si="52"/>
        <v>0</v>
      </c>
      <c r="U186" s="198" t="str">
        <f t="shared" si="53"/>
        <v>SUBDIRECCION DE GESTION CONTRACTUAL</v>
      </c>
      <c r="V186" s="185" t="str">
        <f t="shared" si="54"/>
        <v>CO-DC</v>
      </c>
      <c r="W186" s="198" t="str">
        <f t="shared" si="55"/>
        <v>Distrito Capital de Bogotá</v>
      </c>
      <c r="X186" s="199" t="s">
        <v>586</v>
      </c>
      <c r="Y186" s="185">
        <v>2427400</v>
      </c>
      <c r="Z186" s="200" t="s">
        <v>96</v>
      </c>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c r="GX186" s="7"/>
      <c r="GY186" s="7"/>
      <c r="GZ186" s="7"/>
      <c r="HA186" s="7"/>
      <c r="HB186" s="7"/>
      <c r="HC186" s="7"/>
      <c r="HD186" s="7"/>
      <c r="HE186" s="7"/>
      <c r="HF186" s="7"/>
      <c r="HG186" s="7"/>
      <c r="HH186" s="7"/>
      <c r="HI186" s="7"/>
      <c r="HJ186" s="7"/>
      <c r="HK186" s="7"/>
      <c r="HL186" s="7"/>
      <c r="HM186" s="7"/>
      <c r="HN186" s="7"/>
      <c r="HO186" s="7"/>
      <c r="HP186" s="7"/>
      <c r="HQ186" s="7"/>
      <c r="HR186" s="7"/>
      <c r="HS186" s="7"/>
      <c r="HT186" s="7"/>
      <c r="HU186" s="7"/>
      <c r="HV186" s="7"/>
      <c r="HW186" s="7"/>
      <c r="HX186" s="7"/>
      <c r="HY186" s="7"/>
      <c r="HZ186" s="7"/>
      <c r="IA186" s="7"/>
      <c r="IB186" s="7"/>
      <c r="IC186" s="7"/>
      <c r="ID186" s="7"/>
      <c r="IE186" s="7"/>
      <c r="IF186" s="7"/>
      <c r="IG186" s="7"/>
      <c r="IH186" s="7"/>
      <c r="II186" s="7"/>
      <c r="IJ186" s="7"/>
      <c r="IK186" s="7"/>
      <c r="IL186" s="7"/>
      <c r="IM186" s="7"/>
      <c r="IN186" s="7"/>
      <c r="IO186" s="7"/>
      <c r="IP186" s="7"/>
      <c r="IQ186" s="7"/>
      <c r="IR186" s="7"/>
      <c r="IS186" s="7"/>
      <c r="IT186" s="7"/>
      <c r="IU186" s="7"/>
      <c r="IV186" s="7"/>
      <c r="IW186" s="7"/>
      <c r="IX186" s="7"/>
      <c r="IY186" s="7"/>
      <c r="IZ186" s="7"/>
      <c r="JA186" s="7"/>
      <c r="JB186" s="7"/>
      <c r="JC186" s="7"/>
      <c r="JD186" s="7"/>
      <c r="JE186" s="7"/>
      <c r="JF186" s="7"/>
      <c r="JG186" s="7"/>
      <c r="JH186" s="7"/>
      <c r="JI186" s="7"/>
      <c r="JJ186" s="7"/>
      <c r="JK186" s="7"/>
      <c r="JL186" s="7"/>
      <c r="JM186" s="7"/>
      <c r="JN186" s="7"/>
      <c r="JO186" s="7"/>
      <c r="JP186" s="7"/>
      <c r="JQ186" s="7"/>
      <c r="JR186" s="7"/>
      <c r="JS186" s="7"/>
      <c r="JT186" s="7"/>
      <c r="JU186" s="7"/>
      <c r="JV186" s="7"/>
      <c r="JW186" s="7"/>
      <c r="JX186" s="7"/>
      <c r="JY186" s="7"/>
      <c r="JZ186" s="7"/>
      <c r="KA186" s="7"/>
      <c r="KB186" s="7"/>
      <c r="KC186" s="7"/>
      <c r="KD186" s="7"/>
      <c r="KE186" s="7"/>
      <c r="KF186" s="7"/>
      <c r="KG186" s="7"/>
      <c r="KH186" s="7"/>
      <c r="KI186" s="7"/>
      <c r="KJ186" s="7"/>
      <c r="KK186" s="7"/>
      <c r="KL186" s="7"/>
      <c r="KM186" s="7"/>
      <c r="KN186" s="7"/>
      <c r="KO186" s="7"/>
      <c r="KP186" s="7"/>
      <c r="KQ186" s="7"/>
      <c r="KR186" s="7"/>
      <c r="KS186" s="7"/>
      <c r="KT186" s="7"/>
      <c r="KU186" s="7"/>
      <c r="KV186" s="7"/>
      <c r="KW186" s="7"/>
      <c r="KX186" s="7"/>
      <c r="KY186" s="7"/>
      <c r="KZ186" s="7"/>
      <c r="LA186" s="7"/>
      <c r="LB186" s="7"/>
      <c r="LC186" s="7"/>
      <c r="LD186" s="7"/>
      <c r="LE186" s="7"/>
      <c r="LF186" s="7"/>
      <c r="LG186" s="7"/>
      <c r="LH186" s="7"/>
      <c r="LI186" s="7"/>
      <c r="LJ186" s="7"/>
      <c r="LK186" s="7"/>
      <c r="LL186" s="7"/>
      <c r="LM186" s="7"/>
      <c r="LN186" s="7"/>
      <c r="LO186" s="7"/>
      <c r="LP186" s="7"/>
      <c r="LQ186" s="7"/>
      <c r="LR186" s="7"/>
      <c r="LS186" s="7"/>
      <c r="LT186" s="7"/>
      <c r="LU186" s="7"/>
      <c r="LV186" s="7"/>
      <c r="LW186" s="7"/>
      <c r="LX186" s="7"/>
      <c r="LY186" s="7"/>
      <c r="LZ186" s="7"/>
      <c r="MA186" s="7"/>
      <c r="MB186" s="7"/>
      <c r="MC186" s="7"/>
      <c r="MD186" s="7"/>
      <c r="ME186" s="7"/>
      <c r="MF186" s="7"/>
      <c r="MG186" s="7"/>
      <c r="MH186" s="7"/>
      <c r="MI186" s="7"/>
      <c r="MJ186" s="7"/>
      <c r="MK186" s="7"/>
      <c r="ML186" s="7"/>
      <c r="MM186" s="7"/>
      <c r="MN186" s="7"/>
      <c r="MO186" s="7"/>
      <c r="MP186" s="7"/>
      <c r="MQ186" s="7"/>
      <c r="MR186" s="7"/>
      <c r="MS186" s="7"/>
      <c r="MT186" s="7"/>
      <c r="MU186" s="7"/>
      <c r="MV186" s="7"/>
      <c r="MW186" s="7"/>
      <c r="MX186" s="7"/>
      <c r="MY186" s="7"/>
      <c r="MZ186" s="7"/>
      <c r="NA186" s="7"/>
      <c r="NB186" s="7"/>
      <c r="NC186" s="7"/>
      <c r="ND186" s="7"/>
      <c r="NE186" s="7"/>
      <c r="NF186" s="7"/>
      <c r="NG186" s="7"/>
      <c r="NH186" s="7"/>
      <c r="NI186" s="7"/>
      <c r="NJ186" s="7"/>
      <c r="NK186" s="7"/>
      <c r="NL186" s="7"/>
      <c r="NM186" s="7"/>
      <c r="NN186" s="7"/>
      <c r="NO186" s="7"/>
      <c r="NP186" s="7"/>
      <c r="NQ186" s="7"/>
      <c r="NR186" s="7"/>
      <c r="NS186" s="7"/>
      <c r="NT186" s="7"/>
      <c r="NU186" s="7"/>
      <c r="NV186" s="7"/>
      <c r="NW186" s="7"/>
      <c r="NX186" s="7"/>
      <c r="NY186" s="7"/>
      <c r="NZ186" s="7"/>
      <c r="OA186" s="7"/>
      <c r="OB186" s="7"/>
      <c r="OC186" s="7"/>
      <c r="OD186" s="7"/>
      <c r="OE186" s="7"/>
      <c r="OF186" s="7"/>
      <c r="OG186" s="7"/>
      <c r="OH186" s="7"/>
      <c r="OI186" s="7"/>
      <c r="OJ186" s="7"/>
      <c r="OK186" s="7"/>
      <c r="OL186" s="7"/>
      <c r="OM186" s="7"/>
      <c r="ON186" s="7"/>
      <c r="OO186" s="7"/>
      <c r="OP186" s="7"/>
      <c r="OQ186" s="7"/>
      <c r="OR186" s="7"/>
      <c r="OS186" s="7"/>
      <c r="OT186" s="7"/>
      <c r="OU186" s="7"/>
      <c r="OV186" s="7"/>
      <c r="OW186" s="7"/>
      <c r="OX186" s="7"/>
      <c r="OY186" s="7"/>
      <c r="OZ186" s="7"/>
      <c r="PA186" s="7"/>
      <c r="PB186" s="7"/>
      <c r="PC186" s="7"/>
      <c r="PD186" s="7"/>
      <c r="PE186" s="7"/>
      <c r="PF186" s="7"/>
      <c r="PG186" s="7"/>
      <c r="PH186" s="7"/>
      <c r="PI186" s="7"/>
      <c r="PJ186" s="7"/>
      <c r="PK186" s="7"/>
      <c r="PL186" s="7"/>
      <c r="PM186" s="7"/>
      <c r="PN186" s="7"/>
      <c r="PO186" s="7"/>
      <c r="PP186" s="7"/>
      <c r="PQ186" s="7"/>
      <c r="PR186" s="7"/>
      <c r="PS186" s="7"/>
      <c r="PT186" s="7"/>
      <c r="PU186" s="7"/>
      <c r="PV186" s="7"/>
      <c r="PW186" s="7"/>
      <c r="PX186" s="7"/>
      <c r="PY186" s="7"/>
      <c r="PZ186" s="7"/>
      <c r="QA186" s="7"/>
      <c r="QB186" s="7"/>
      <c r="QC186" s="7"/>
      <c r="QD186" s="7"/>
      <c r="QE186" s="7"/>
      <c r="QF186" s="7"/>
      <c r="QG186" s="7"/>
      <c r="QH186" s="7"/>
      <c r="QI186" s="7"/>
      <c r="QJ186" s="7"/>
      <c r="QK186" s="7"/>
      <c r="QL186" s="7"/>
      <c r="QM186" s="7"/>
      <c r="QN186" s="7"/>
      <c r="QO186" s="7"/>
      <c r="QP186" s="7"/>
      <c r="QQ186" s="7"/>
      <c r="QR186" s="7"/>
      <c r="QS186" s="7"/>
      <c r="QT186" s="7"/>
      <c r="QU186" s="7"/>
      <c r="QV186" s="7"/>
      <c r="QW186" s="7"/>
      <c r="QX186" s="7"/>
      <c r="QY186" s="7"/>
      <c r="QZ186" s="7"/>
      <c r="RA186" s="7"/>
      <c r="RB186" s="7"/>
      <c r="RC186" s="7"/>
      <c r="RD186" s="7"/>
      <c r="RE186" s="7"/>
      <c r="RF186" s="7"/>
      <c r="RG186" s="7"/>
      <c r="RH186" s="7"/>
      <c r="RI186" s="7"/>
      <c r="RJ186" s="7"/>
      <c r="RK186" s="7"/>
      <c r="RL186" s="7"/>
      <c r="RM186" s="7"/>
      <c r="RN186" s="7"/>
      <c r="RO186" s="7"/>
      <c r="RP186" s="7"/>
      <c r="RQ186" s="7"/>
      <c r="RR186" s="7"/>
      <c r="RS186" s="7"/>
      <c r="RT186" s="7"/>
      <c r="RU186" s="7"/>
      <c r="RV186" s="7"/>
      <c r="RW186" s="7"/>
      <c r="RX186" s="7"/>
      <c r="RY186" s="7"/>
      <c r="RZ186" s="7"/>
      <c r="SA186" s="7"/>
      <c r="SB186" s="7"/>
      <c r="SC186" s="7"/>
      <c r="SD186" s="7"/>
      <c r="SE186" s="7"/>
      <c r="SF186" s="7"/>
      <c r="SG186" s="7"/>
      <c r="SH186" s="7"/>
      <c r="SI186" s="7"/>
      <c r="SJ186" s="7"/>
      <c r="SK186" s="7"/>
      <c r="SL186" s="7"/>
      <c r="SM186" s="7"/>
      <c r="SN186" s="7"/>
      <c r="SO186" s="7"/>
      <c r="SP186" s="7"/>
      <c r="SQ186" s="7"/>
      <c r="SR186" s="7"/>
      <c r="SS186" s="7"/>
      <c r="ST186" s="7"/>
      <c r="SU186" s="7"/>
      <c r="SV186" s="7"/>
      <c r="SW186" s="7"/>
      <c r="SX186" s="7"/>
      <c r="SY186" s="7"/>
      <c r="SZ186" s="7"/>
      <c r="TA186" s="7"/>
      <c r="TB186" s="7"/>
      <c r="TC186" s="7"/>
      <c r="TD186" s="7"/>
      <c r="TE186" s="7"/>
      <c r="TF186" s="7"/>
      <c r="TG186" s="7"/>
      <c r="TH186" s="7"/>
      <c r="TI186" s="7"/>
      <c r="TJ186" s="7"/>
      <c r="TK186" s="7"/>
      <c r="TL186" s="7"/>
      <c r="TM186" s="7"/>
      <c r="TN186" s="7"/>
      <c r="TO186" s="7"/>
      <c r="TP186" s="7"/>
      <c r="TQ186" s="7"/>
      <c r="TR186" s="7"/>
      <c r="TS186" s="7"/>
      <c r="TT186" s="7"/>
      <c r="TU186" s="7"/>
      <c r="TV186" s="7"/>
      <c r="TW186" s="7"/>
      <c r="TX186" s="7"/>
      <c r="TY186" s="7"/>
      <c r="TZ186" s="7"/>
      <c r="UA186" s="7"/>
      <c r="UB186" s="7"/>
      <c r="UC186" s="7"/>
      <c r="UD186" s="7"/>
      <c r="UE186" s="7"/>
      <c r="UF186" s="7"/>
      <c r="UG186" s="7"/>
      <c r="UH186" s="7"/>
      <c r="UI186" s="7"/>
      <c r="UJ186" s="7"/>
      <c r="UK186" s="7"/>
      <c r="UL186" s="7"/>
      <c r="UM186" s="7"/>
      <c r="UN186" s="7"/>
      <c r="UO186" s="7"/>
      <c r="UP186" s="7"/>
      <c r="UQ186" s="7"/>
      <c r="UR186" s="7"/>
      <c r="US186" s="7"/>
      <c r="UT186" s="7"/>
      <c r="UU186" s="7"/>
      <c r="UV186" s="7"/>
      <c r="UW186" s="7"/>
      <c r="UX186" s="7"/>
      <c r="UY186" s="7"/>
      <c r="UZ186" s="7"/>
      <c r="VA186" s="7"/>
      <c r="VB186" s="7"/>
      <c r="VC186" s="7"/>
      <c r="VD186" s="7"/>
      <c r="VE186" s="7"/>
      <c r="VF186" s="7"/>
      <c r="VG186" s="7"/>
      <c r="VH186" s="7"/>
      <c r="VI186" s="7"/>
      <c r="VJ186" s="7"/>
      <c r="VK186" s="7"/>
      <c r="VL186" s="7"/>
      <c r="VM186" s="7"/>
      <c r="VN186" s="7"/>
      <c r="VO186" s="7"/>
      <c r="VP186" s="7"/>
      <c r="VQ186" s="7"/>
      <c r="VR186" s="7"/>
      <c r="VS186" s="7"/>
      <c r="VT186" s="7"/>
      <c r="VU186" s="7"/>
      <c r="VV186" s="7"/>
      <c r="VW186" s="7"/>
      <c r="VX186" s="7"/>
      <c r="VY186" s="7"/>
      <c r="VZ186" s="7"/>
      <c r="WA186" s="7"/>
      <c r="WB186" s="7"/>
      <c r="WC186" s="7"/>
      <c r="WD186" s="7"/>
      <c r="WE186" s="7"/>
      <c r="WF186" s="7"/>
      <c r="WG186" s="7"/>
      <c r="WH186" s="7"/>
      <c r="WI186" s="7"/>
      <c r="WJ186" s="7"/>
      <c r="WK186" s="7"/>
      <c r="WL186" s="7"/>
      <c r="WM186" s="7"/>
      <c r="WN186" s="7"/>
      <c r="WO186" s="7"/>
      <c r="WP186" s="7"/>
      <c r="WQ186" s="7"/>
      <c r="WR186" s="7"/>
      <c r="WS186" s="7"/>
      <c r="WT186" s="7"/>
      <c r="WU186" s="7"/>
      <c r="WV186" s="7"/>
      <c r="WW186" s="7"/>
      <c r="WX186" s="7"/>
      <c r="WY186" s="7"/>
      <c r="WZ186" s="7"/>
      <c r="XA186" s="7"/>
      <c r="XB186" s="7"/>
      <c r="XC186" s="7"/>
      <c r="XD186" s="7"/>
      <c r="XE186" s="7"/>
      <c r="XF186" s="7"/>
      <c r="XG186" s="7"/>
      <c r="XH186" s="7"/>
      <c r="XI186" s="7"/>
      <c r="XJ186" s="7"/>
      <c r="XK186" s="7"/>
      <c r="XL186" s="7"/>
      <c r="XM186" s="7"/>
      <c r="XN186" s="7"/>
      <c r="XO186" s="7"/>
      <c r="XP186" s="7"/>
      <c r="XQ186" s="7"/>
      <c r="XR186" s="7"/>
      <c r="XS186" s="7"/>
      <c r="XT186" s="7"/>
      <c r="XU186" s="7"/>
      <c r="XV186" s="7"/>
      <c r="XW186" s="7"/>
      <c r="XX186" s="7"/>
      <c r="XY186" s="7"/>
      <c r="XZ186" s="7"/>
      <c r="YA186" s="7"/>
      <c r="YB186" s="7"/>
      <c r="YC186" s="7"/>
      <c r="YD186" s="7"/>
      <c r="YE186" s="7"/>
      <c r="YF186" s="7"/>
      <c r="YG186" s="7"/>
      <c r="YH186" s="7"/>
      <c r="YI186" s="7"/>
      <c r="YJ186" s="7"/>
      <c r="YK186" s="7"/>
      <c r="YL186" s="7"/>
      <c r="YM186" s="7"/>
      <c r="YN186" s="7"/>
      <c r="YO186" s="7"/>
      <c r="YP186" s="7"/>
      <c r="YQ186" s="7"/>
      <c r="YR186" s="7"/>
      <c r="YS186" s="7"/>
      <c r="YT186" s="7"/>
      <c r="YU186" s="7"/>
      <c r="YV186" s="7"/>
      <c r="YW186" s="7"/>
      <c r="YX186" s="7"/>
      <c r="YY186" s="7"/>
      <c r="YZ186" s="7"/>
      <c r="ZA186" s="7"/>
      <c r="ZB186" s="7"/>
      <c r="ZC186" s="7"/>
      <c r="ZD186" s="7"/>
      <c r="ZE186" s="7"/>
      <c r="ZF186" s="7"/>
      <c r="ZG186" s="7"/>
      <c r="ZH186" s="7"/>
      <c r="ZI186" s="7"/>
      <c r="ZJ186" s="7"/>
      <c r="ZK186" s="7"/>
      <c r="ZL186" s="7"/>
      <c r="ZM186" s="7"/>
      <c r="ZN186" s="7"/>
      <c r="ZO186" s="7"/>
      <c r="ZP186" s="7"/>
      <c r="ZQ186" s="7"/>
      <c r="ZR186" s="7"/>
      <c r="ZS186" s="7"/>
      <c r="ZT186" s="7"/>
      <c r="ZU186" s="7"/>
      <c r="ZV186" s="7"/>
      <c r="ZW186" s="7"/>
      <c r="ZX186" s="7"/>
      <c r="ZY186" s="7"/>
      <c r="ZZ186" s="7"/>
      <c r="AAA186" s="7"/>
      <c r="AAB186" s="7"/>
      <c r="AAC186" s="7"/>
      <c r="AAD186" s="7"/>
      <c r="AAE186" s="7"/>
      <c r="AAF186" s="7"/>
      <c r="AAG186" s="7"/>
      <c r="AAH186" s="7"/>
      <c r="AAI186" s="7"/>
      <c r="AAJ186" s="7"/>
      <c r="AAK186" s="7"/>
      <c r="AAL186" s="7"/>
      <c r="AAM186" s="7"/>
      <c r="AAN186" s="7"/>
      <c r="AAO186" s="7"/>
      <c r="AAP186" s="7"/>
      <c r="AAQ186" s="7"/>
      <c r="AAR186" s="7"/>
      <c r="AAS186" s="7"/>
      <c r="AAT186" s="7"/>
      <c r="AAU186" s="7"/>
      <c r="AAV186" s="7"/>
      <c r="AAW186" s="7"/>
      <c r="AAX186" s="7"/>
      <c r="AAY186" s="7"/>
      <c r="AAZ186" s="7"/>
      <c r="ABA186" s="7"/>
      <c r="ABB186" s="7"/>
      <c r="ABC186" s="7"/>
      <c r="ABD186" s="7"/>
      <c r="ABE186" s="7"/>
      <c r="ABF186" s="7"/>
      <c r="ABG186" s="7"/>
      <c r="ABH186" s="7"/>
      <c r="ABI186" s="7"/>
      <c r="ABJ186" s="7"/>
      <c r="ABK186" s="7"/>
      <c r="ABL186" s="7"/>
      <c r="ABM186" s="7"/>
      <c r="ABN186" s="7"/>
      <c r="ABO186" s="7"/>
      <c r="ABP186" s="7"/>
      <c r="ABQ186" s="7"/>
      <c r="ABR186" s="7"/>
      <c r="ABS186" s="7"/>
      <c r="ABT186" s="7"/>
      <c r="ABU186" s="7"/>
      <c r="ABV186" s="7"/>
      <c r="ABW186" s="7"/>
      <c r="ABX186" s="7"/>
      <c r="ABY186" s="7"/>
      <c r="ABZ186" s="7"/>
      <c r="ACA186" s="7"/>
      <c r="ACB186" s="7"/>
      <c r="ACC186" s="7"/>
      <c r="ACD186" s="7"/>
      <c r="ACE186" s="7"/>
      <c r="ACF186" s="7"/>
      <c r="ACG186" s="7"/>
      <c r="ACH186" s="7"/>
      <c r="ACI186" s="7"/>
      <c r="ACJ186" s="7"/>
      <c r="ACK186" s="7"/>
      <c r="ACL186" s="7"/>
      <c r="ACM186" s="7"/>
      <c r="ACN186" s="7"/>
      <c r="ACO186" s="7"/>
      <c r="ACP186" s="7"/>
      <c r="ACQ186" s="7"/>
      <c r="ACR186" s="7"/>
      <c r="ACS186" s="7"/>
      <c r="ACT186" s="7"/>
      <c r="ACU186" s="7"/>
      <c r="ACV186" s="7"/>
      <c r="ACW186" s="7"/>
      <c r="ACX186" s="7"/>
      <c r="ACY186" s="7"/>
      <c r="ACZ186" s="7"/>
      <c r="ADA186" s="7"/>
      <c r="ADB186" s="7"/>
      <c r="ADC186" s="7"/>
      <c r="ADD186" s="7"/>
      <c r="ADE186" s="7"/>
      <c r="ADF186" s="7"/>
      <c r="ADG186" s="7"/>
      <c r="ADH186" s="7"/>
      <c r="ADI186" s="7"/>
      <c r="ADJ186" s="7"/>
      <c r="ADK186" s="7"/>
      <c r="ADL186" s="7"/>
      <c r="ADM186" s="7"/>
      <c r="ADN186" s="7"/>
      <c r="ADO186" s="7"/>
      <c r="ADP186" s="7"/>
      <c r="ADQ186" s="7"/>
      <c r="ADR186" s="7"/>
      <c r="ADS186" s="7"/>
      <c r="ADT186" s="7"/>
      <c r="ADU186" s="7"/>
      <c r="ADV186" s="7"/>
      <c r="ADW186" s="7"/>
      <c r="ADX186" s="7"/>
      <c r="ADY186" s="7"/>
      <c r="ADZ186" s="7"/>
      <c r="AEA186" s="7"/>
      <c r="AEB186" s="7"/>
      <c r="AEC186" s="7"/>
      <c r="AED186" s="7"/>
      <c r="AEE186" s="7"/>
      <c r="AEF186" s="7"/>
      <c r="AEG186" s="7"/>
      <c r="AEH186" s="7"/>
      <c r="AEI186" s="7"/>
      <c r="AEJ186" s="7"/>
      <c r="AEK186" s="7"/>
      <c r="AEL186" s="7"/>
      <c r="AEM186" s="7"/>
      <c r="AEN186" s="7"/>
      <c r="AEO186" s="7"/>
      <c r="AEP186" s="7"/>
      <c r="AEQ186" s="7"/>
      <c r="AER186" s="7"/>
      <c r="AES186" s="7"/>
      <c r="AET186" s="7"/>
      <c r="AEU186" s="7"/>
      <c r="AEV186" s="7"/>
      <c r="AEW186" s="7"/>
      <c r="AEX186" s="7"/>
      <c r="AEY186" s="7"/>
      <c r="AEZ186" s="7"/>
      <c r="AFA186" s="7"/>
      <c r="AFB186" s="7"/>
      <c r="AFC186" s="7"/>
      <c r="AFD186" s="7"/>
      <c r="AFE186" s="7"/>
      <c r="AFF186" s="7"/>
      <c r="AFG186" s="7"/>
      <c r="AFH186" s="7"/>
      <c r="AFI186" s="7"/>
      <c r="AFJ186" s="7"/>
      <c r="AFK186" s="7"/>
      <c r="AFL186" s="7"/>
      <c r="AFM186" s="7"/>
      <c r="AFN186" s="7"/>
      <c r="AFO186" s="7"/>
      <c r="AFP186" s="7"/>
      <c r="AFQ186" s="7"/>
      <c r="AFR186" s="7"/>
      <c r="AFS186" s="7"/>
      <c r="AFT186" s="7"/>
      <c r="AFU186" s="7"/>
      <c r="AFV186" s="7"/>
      <c r="AFW186" s="7"/>
      <c r="AFX186" s="7"/>
      <c r="AFY186" s="7"/>
      <c r="AFZ186" s="7"/>
      <c r="AGA186" s="7"/>
      <c r="AGB186" s="7"/>
      <c r="AGC186" s="7"/>
      <c r="AGD186" s="7"/>
      <c r="AGE186" s="7"/>
      <c r="AGF186" s="7"/>
      <c r="AGG186" s="7"/>
      <c r="AGH186" s="7"/>
      <c r="AGI186" s="7"/>
      <c r="AGJ186" s="7"/>
      <c r="AGK186" s="7"/>
      <c r="AGL186" s="7"/>
      <c r="AGM186" s="7"/>
      <c r="AGN186" s="7"/>
      <c r="AGO186" s="7"/>
      <c r="AGP186" s="7"/>
      <c r="AGQ186" s="7"/>
      <c r="AGR186" s="7"/>
      <c r="AGS186" s="7"/>
      <c r="AGT186" s="7"/>
      <c r="AGU186" s="7"/>
      <c r="AGV186" s="7"/>
      <c r="AGW186" s="7"/>
      <c r="AGX186" s="7"/>
      <c r="AGY186" s="7"/>
      <c r="AGZ186" s="7"/>
      <c r="AHA186" s="7"/>
      <c r="AHB186" s="7"/>
      <c r="AHC186" s="7"/>
      <c r="AHD186" s="7"/>
      <c r="AHE186" s="7"/>
      <c r="AHF186" s="7"/>
      <c r="AHG186" s="7"/>
      <c r="AHH186" s="7"/>
      <c r="AHI186" s="7"/>
      <c r="AHJ186" s="7"/>
      <c r="AHK186" s="7"/>
      <c r="AHL186" s="7"/>
      <c r="AHM186" s="7"/>
      <c r="AHN186" s="7"/>
      <c r="AHO186" s="7"/>
      <c r="AHP186" s="7"/>
      <c r="AHQ186" s="7"/>
      <c r="AHR186" s="7"/>
      <c r="AHS186" s="7"/>
      <c r="AHT186" s="7"/>
      <c r="AHU186" s="7"/>
      <c r="AHV186" s="7"/>
      <c r="AHW186" s="7"/>
      <c r="AHX186" s="7"/>
      <c r="AHY186" s="7"/>
      <c r="AHZ186" s="7"/>
      <c r="AIA186" s="7"/>
      <c r="AIB186" s="7"/>
      <c r="AIC186" s="7"/>
      <c r="AID186" s="7"/>
      <c r="AIE186" s="7"/>
      <c r="AIF186" s="7"/>
      <c r="AIG186" s="7"/>
      <c r="AIH186" s="7"/>
      <c r="AII186" s="7"/>
      <c r="AIJ186" s="7"/>
      <c r="AIK186" s="7"/>
      <c r="AIL186" s="7"/>
      <c r="AIM186" s="7"/>
      <c r="AIN186" s="7"/>
      <c r="AIO186" s="7"/>
      <c r="AIP186" s="7"/>
      <c r="AIQ186" s="7"/>
      <c r="AIR186" s="7"/>
      <c r="AIS186" s="7"/>
      <c r="AIT186" s="7"/>
      <c r="AIU186" s="7"/>
      <c r="AIV186" s="7"/>
      <c r="AIW186" s="7"/>
      <c r="AIX186" s="7"/>
      <c r="AIY186" s="7"/>
      <c r="AIZ186" s="7"/>
      <c r="AJA186" s="7"/>
      <c r="AJB186" s="7"/>
      <c r="AJC186" s="7"/>
      <c r="AJD186" s="7"/>
      <c r="AJE186" s="7"/>
      <c r="AJF186" s="7"/>
      <c r="AJG186" s="7"/>
      <c r="AJH186" s="7"/>
      <c r="AJI186" s="7"/>
      <c r="AJJ186" s="7"/>
      <c r="AJK186" s="7"/>
      <c r="AJL186" s="7"/>
      <c r="AJM186" s="7"/>
      <c r="AJN186" s="7"/>
      <c r="AJO186" s="7"/>
      <c r="AJP186" s="7"/>
      <c r="AJQ186" s="7"/>
      <c r="AJR186" s="7"/>
      <c r="AJS186" s="7"/>
      <c r="AJT186" s="7"/>
      <c r="AJU186" s="7"/>
      <c r="AJV186" s="7"/>
      <c r="AJW186" s="7"/>
      <c r="AJX186" s="7"/>
      <c r="AJY186" s="7"/>
      <c r="AJZ186" s="7"/>
      <c r="AKA186" s="7"/>
      <c r="AKB186" s="7"/>
      <c r="AKC186" s="7"/>
      <c r="AKD186" s="7"/>
      <c r="AKE186" s="7"/>
      <c r="AKF186" s="7"/>
      <c r="AKG186" s="7"/>
      <c r="AKH186" s="7"/>
      <c r="AKI186" s="7"/>
      <c r="AKJ186" s="7"/>
      <c r="AKK186" s="7"/>
      <c r="AKL186" s="7"/>
      <c r="AKM186" s="7"/>
      <c r="AKN186" s="7"/>
      <c r="AKO186" s="7"/>
      <c r="AKP186" s="7"/>
      <c r="AKQ186" s="7"/>
      <c r="AKR186" s="7"/>
      <c r="AKS186" s="7"/>
      <c r="AKT186" s="7"/>
      <c r="AKU186" s="7"/>
      <c r="AKV186" s="7"/>
      <c r="AKW186" s="7"/>
      <c r="AKX186" s="7"/>
      <c r="AKY186" s="7"/>
      <c r="AKZ186" s="7"/>
      <c r="ALA186" s="7"/>
      <c r="ALB186" s="7"/>
      <c r="ALC186" s="7"/>
      <c r="ALD186" s="7"/>
      <c r="ALE186" s="7"/>
      <c r="ALF186" s="7"/>
      <c r="ALG186" s="7"/>
      <c r="ALH186" s="7"/>
      <c r="ALI186" s="7"/>
      <c r="ALJ186" s="7"/>
      <c r="ALK186" s="7"/>
      <c r="ALL186" s="7"/>
      <c r="ALM186" s="7"/>
      <c r="ALN186" s="7"/>
      <c r="ALO186" s="7"/>
      <c r="ALP186" s="7"/>
      <c r="ALQ186" s="7"/>
      <c r="ALR186" s="7"/>
      <c r="ALS186" s="7"/>
      <c r="ALT186" s="7"/>
      <c r="ALU186" s="7"/>
      <c r="ALV186" s="7"/>
      <c r="ALW186" s="7"/>
      <c r="ALX186" s="7"/>
      <c r="ALY186" s="7"/>
      <c r="ALZ186" s="7"/>
      <c r="AMA186" s="7"/>
      <c r="AMB186" s="7"/>
      <c r="AMC186" s="7"/>
      <c r="AMD186" s="7"/>
      <c r="AME186" s="7"/>
      <c r="AMF186" s="7"/>
      <c r="AMG186" s="7"/>
      <c r="AMH186" s="7"/>
      <c r="AMI186" s="7"/>
      <c r="AMJ186" s="7"/>
      <c r="AMK186" s="7"/>
      <c r="AML186" s="7"/>
      <c r="AMM186" s="7"/>
      <c r="AMN186" s="7"/>
      <c r="AMO186" s="7"/>
      <c r="AMP186" s="7"/>
      <c r="AMQ186" s="7"/>
      <c r="AMR186" s="7"/>
      <c r="AMS186" s="7"/>
      <c r="AMT186" s="7"/>
      <c r="AMU186" s="7"/>
      <c r="AMV186" s="7"/>
      <c r="AMW186" s="7"/>
      <c r="AMX186" s="7"/>
      <c r="AMY186" s="7"/>
      <c r="AMZ186" s="7"/>
      <c r="ANA186" s="7"/>
      <c r="ANB186" s="7"/>
      <c r="ANC186" s="7"/>
      <c r="AND186" s="7"/>
      <c r="ANE186" s="7"/>
      <c r="ANF186" s="7"/>
      <c r="ANG186" s="7"/>
      <c r="ANH186" s="7"/>
      <c r="ANI186" s="7"/>
      <c r="ANJ186" s="7"/>
      <c r="ANK186" s="7"/>
      <c r="ANL186" s="7"/>
      <c r="ANM186" s="7"/>
      <c r="ANN186" s="7"/>
      <c r="ANO186" s="7"/>
      <c r="ANP186" s="7"/>
      <c r="ANQ186" s="7"/>
      <c r="ANR186" s="7"/>
      <c r="ANS186" s="7"/>
      <c r="ANT186" s="7"/>
      <c r="ANU186" s="7"/>
      <c r="ANV186" s="7"/>
      <c r="ANW186" s="7"/>
      <c r="ANX186" s="7"/>
      <c r="ANY186" s="7"/>
      <c r="ANZ186" s="7"/>
      <c r="AOA186" s="7"/>
      <c r="AOB186" s="7"/>
      <c r="AOC186" s="7"/>
      <c r="AOD186" s="7"/>
      <c r="AOE186" s="7"/>
      <c r="AOF186" s="7"/>
      <c r="AOG186" s="7"/>
      <c r="AOH186" s="7"/>
      <c r="AOI186" s="7"/>
      <c r="AOJ186" s="7"/>
      <c r="AOK186" s="7"/>
      <c r="AOL186" s="7"/>
      <c r="AOM186" s="7"/>
      <c r="AON186" s="7"/>
      <c r="AOO186" s="7"/>
      <c r="AOP186" s="7"/>
      <c r="AOQ186" s="7"/>
      <c r="AOR186" s="7"/>
      <c r="AOS186" s="7"/>
      <c r="AOT186" s="7"/>
      <c r="AOU186" s="7"/>
      <c r="AOV186" s="7"/>
      <c r="AOW186" s="7"/>
      <c r="AOX186" s="7"/>
      <c r="AOY186" s="7"/>
      <c r="AOZ186" s="7"/>
      <c r="APA186" s="7"/>
      <c r="APB186" s="7"/>
      <c r="APC186" s="7"/>
      <c r="APD186" s="7"/>
      <c r="APE186" s="7"/>
      <c r="APF186" s="7"/>
      <c r="APG186" s="7"/>
      <c r="APH186" s="7"/>
      <c r="API186" s="7"/>
      <c r="APJ186" s="7"/>
      <c r="APK186" s="7"/>
      <c r="APL186" s="7"/>
      <c r="APM186" s="7"/>
      <c r="APN186" s="7"/>
      <c r="APO186" s="7"/>
      <c r="APP186" s="7"/>
      <c r="APQ186" s="7"/>
      <c r="APR186" s="7"/>
      <c r="APS186" s="7"/>
      <c r="APT186" s="7"/>
      <c r="APU186" s="7"/>
      <c r="APV186" s="7"/>
      <c r="APW186" s="7"/>
      <c r="APX186" s="7"/>
      <c r="APY186" s="7"/>
      <c r="APZ186" s="7"/>
      <c r="AQA186" s="7"/>
      <c r="AQB186" s="7"/>
      <c r="AQC186" s="7"/>
      <c r="AQD186" s="7"/>
      <c r="AQE186" s="7"/>
      <c r="AQF186" s="7"/>
      <c r="AQG186" s="7"/>
      <c r="AQH186" s="7"/>
      <c r="AQI186" s="7"/>
      <c r="AQJ186" s="7"/>
      <c r="AQK186" s="7"/>
      <c r="AQL186" s="7"/>
      <c r="AQM186" s="7"/>
      <c r="AQN186" s="7"/>
      <c r="AQO186" s="7"/>
      <c r="AQP186" s="7"/>
      <c r="AQQ186" s="7"/>
      <c r="AQR186" s="7"/>
      <c r="AQS186" s="7"/>
      <c r="AQT186" s="7"/>
      <c r="AQU186" s="7"/>
      <c r="AQV186" s="7"/>
      <c r="AQW186" s="7"/>
      <c r="AQX186" s="7"/>
      <c r="AQY186" s="7"/>
      <c r="AQZ186" s="7"/>
      <c r="ARA186" s="7"/>
      <c r="ARB186" s="7"/>
      <c r="ARC186" s="7"/>
      <c r="ARD186" s="7"/>
      <c r="ARE186" s="7"/>
      <c r="ARF186" s="7"/>
      <c r="ARG186" s="7"/>
      <c r="ARH186" s="7"/>
      <c r="ARI186" s="7"/>
      <c r="ARJ186" s="7"/>
      <c r="ARK186" s="7"/>
      <c r="ARL186" s="7"/>
      <c r="ARM186" s="7"/>
      <c r="ARN186" s="7"/>
      <c r="ARO186" s="7"/>
      <c r="ARP186" s="7"/>
      <c r="ARQ186" s="7"/>
      <c r="ARR186" s="7"/>
      <c r="ARS186" s="7"/>
      <c r="ART186" s="7"/>
      <c r="ARU186" s="7"/>
      <c r="ARV186" s="7"/>
      <c r="ARW186" s="7"/>
      <c r="ARX186" s="7"/>
      <c r="ARY186" s="7"/>
      <c r="ARZ186" s="7"/>
      <c r="ASA186" s="7"/>
      <c r="ASB186" s="7"/>
      <c r="ASC186" s="7"/>
      <c r="ASD186" s="7"/>
      <c r="ASE186" s="7"/>
      <c r="ASF186" s="7"/>
      <c r="ASG186" s="7"/>
      <c r="ASH186" s="7"/>
      <c r="ASI186" s="7"/>
      <c r="ASJ186" s="7"/>
      <c r="ASK186" s="7"/>
      <c r="ASL186" s="7"/>
      <c r="ASM186" s="7"/>
      <c r="ASN186" s="7"/>
      <c r="ASO186" s="7"/>
      <c r="ASP186" s="7"/>
      <c r="ASQ186" s="7"/>
      <c r="ASR186" s="7"/>
      <c r="ASS186" s="7"/>
      <c r="AST186" s="7"/>
      <c r="ASU186" s="7"/>
      <c r="ASV186" s="7"/>
      <c r="ASW186" s="7"/>
      <c r="ASX186" s="7"/>
      <c r="ASY186" s="7"/>
      <c r="ASZ186" s="7"/>
      <c r="ATA186" s="7"/>
      <c r="ATB186" s="7"/>
      <c r="ATC186" s="7"/>
      <c r="ATD186" s="7"/>
      <c r="ATE186" s="7"/>
      <c r="ATF186" s="7"/>
      <c r="ATG186" s="7"/>
      <c r="ATH186" s="7"/>
      <c r="ATI186" s="7"/>
      <c r="ATJ186" s="7"/>
      <c r="ATK186" s="7"/>
      <c r="ATL186" s="7"/>
      <c r="ATM186" s="7"/>
      <c r="ATN186" s="7"/>
      <c r="ATO186" s="7"/>
      <c r="ATP186" s="7"/>
      <c r="ATQ186" s="7"/>
      <c r="ATR186" s="7"/>
      <c r="ATS186" s="7"/>
      <c r="ATT186" s="7"/>
      <c r="ATU186" s="7"/>
      <c r="ATV186" s="7"/>
      <c r="ATW186" s="7"/>
      <c r="ATX186" s="7"/>
      <c r="ATY186" s="7"/>
      <c r="ATZ186" s="7"/>
      <c r="AUA186" s="7"/>
      <c r="AUB186" s="7"/>
      <c r="AUC186" s="7"/>
      <c r="AUD186" s="7"/>
      <c r="AUE186" s="7"/>
      <c r="AUF186" s="7"/>
      <c r="AUG186" s="7"/>
      <c r="AUH186" s="7"/>
      <c r="AUI186" s="7"/>
      <c r="AUJ186" s="7"/>
      <c r="AUK186" s="7"/>
      <c r="AUL186" s="7"/>
      <c r="AUM186" s="7"/>
      <c r="AUN186" s="7"/>
      <c r="AUO186" s="7"/>
      <c r="AUP186" s="7"/>
      <c r="AUQ186" s="7"/>
      <c r="AUR186" s="7"/>
      <c r="AUS186" s="7"/>
      <c r="AUT186" s="7"/>
      <c r="AUU186" s="7"/>
      <c r="AUV186" s="7"/>
      <c r="AUW186" s="7"/>
      <c r="AUX186" s="7"/>
      <c r="AUY186" s="7"/>
      <c r="AUZ186" s="7"/>
      <c r="AVA186" s="7"/>
      <c r="AVB186" s="7"/>
      <c r="AVC186" s="7"/>
      <c r="AVD186" s="7"/>
      <c r="AVE186" s="7"/>
      <c r="AVF186" s="7"/>
      <c r="AVG186" s="7"/>
      <c r="AVH186" s="7"/>
      <c r="AVI186" s="7"/>
      <c r="AVJ186" s="7"/>
      <c r="AVK186" s="7"/>
      <c r="AVL186" s="7"/>
      <c r="AVM186" s="7"/>
      <c r="AVN186" s="7"/>
      <c r="AVO186" s="7"/>
      <c r="AVP186" s="7"/>
      <c r="AVQ186" s="7"/>
      <c r="AVR186" s="7"/>
      <c r="AVS186" s="7"/>
      <c r="AVT186" s="7"/>
      <c r="AVU186" s="7"/>
      <c r="AVV186" s="7"/>
      <c r="AVW186" s="7"/>
      <c r="AVX186" s="7"/>
      <c r="AVY186" s="7"/>
      <c r="AVZ186" s="7"/>
      <c r="AWA186" s="7"/>
      <c r="AWB186" s="7"/>
      <c r="AWC186" s="7"/>
      <c r="AWD186" s="7"/>
      <c r="AWE186" s="7"/>
      <c r="AWF186" s="7"/>
      <c r="AWG186" s="7"/>
      <c r="AWH186" s="7"/>
      <c r="AWI186" s="7"/>
      <c r="AWJ186" s="7"/>
      <c r="AWK186" s="7"/>
      <c r="AWL186" s="7"/>
      <c r="AWM186" s="7"/>
      <c r="AWN186" s="7"/>
      <c r="AWO186" s="7"/>
      <c r="AWP186" s="7"/>
      <c r="AWQ186" s="7"/>
      <c r="AWR186" s="7"/>
      <c r="AWS186" s="7"/>
      <c r="AWT186" s="7"/>
      <c r="AWU186" s="7"/>
      <c r="AWV186" s="7"/>
      <c r="AWW186" s="7"/>
      <c r="AWX186" s="7"/>
      <c r="AWY186" s="7"/>
      <c r="AWZ186" s="7"/>
      <c r="AXA186" s="7"/>
      <c r="AXB186" s="7"/>
      <c r="AXC186" s="7"/>
      <c r="AXD186" s="7"/>
      <c r="AXE186" s="7"/>
      <c r="AXF186" s="7"/>
      <c r="AXG186" s="7"/>
      <c r="AXH186" s="7"/>
      <c r="AXI186" s="7"/>
      <c r="AXJ186" s="7"/>
      <c r="AXK186" s="7"/>
      <c r="AXL186" s="7"/>
      <c r="AXM186" s="7"/>
      <c r="AXN186" s="7"/>
      <c r="AXO186" s="7"/>
      <c r="AXP186" s="7"/>
      <c r="AXQ186" s="7"/>
      <c r="AXR186" s="7"/>
      <c r="AXS186" s="7"/>
      <c r="AXT186" s="7"/>
      <c r="AXU186" s="7"/>
      <c r="AXV186" s="7"/>
      <c r="AXW186" s="7"/>
      <c r="AXX186" s="7"/>
      <c r="AXY186" s="7"/>
      <c r="AXZ186" s="7"/>
      <c r="AYA186" s="7"/>
      <c r="AYB186" s="7"/>
      <c r="AYC186" s="7"/>
      <c r="AYD186" s="7"/>
      <c r="AYE186" s="7"/>
      <c r="AYF186" s="7"/>
      <c r="AYG186" s="7"/>
      <c r="AYH186" s="7"/>
      <c r="AYI186" s="7"/>
      <c r="AYJ186" s="7"/>
      <c r="AYK186" s="7"/>
      <c r="AYL186" s="7"/>
      <c r="AYM186" s="7"/>
      <c r="AYN186" s="7"/>
      <c r="AYO186" s="7"/>
      <c r="AYP186" s="7"/>
      <c r="AYQ186" s="7"/>
      <c r="AYR186" s="7"/>
      <c r="AYS186" s="7"/>
      <c r="AYT186" s="7"/>
      <c r="AYU186" s="7"/>
      <c r="AYV186" s="7"/>
      <c r="AYW186" s="7"/>
      <c r="AYX186" s="7"/>
      <c r="AYY186" s="7"/>
      <c r="AYZ186" s="7"/>
      <c r="AZA186" s="7"/>
      <c r="AZB186" s="7"/>
      <c r="AZC186" s="7"/>
      <c r="AZD186" s="7"/>
      <c r="AZE186" s="7"/>
      <c r="AZF186" s="7"/>
      <c r="AZG186" s="7"/>
      <c r="AZH186" s="7"/>
      <c r="AZI186" s="7"/>
      <c r="AZJ186" s="7"/>
      <c r="AZK186" s="7"/>
      <c r="AZL186" s="7"/>
      <c r="AZM186" s="7"/>
      <c r="AZN186" s="7"/>
      <c r="AZO186" s="7"/>
      <c r="AZP186" s="7"/>
      <c r="AZQ186" s="7"/>
      <c r="AZR186" s="7"/>
      <c r="AZS186" s="7"/>
      <c r="AZT186" s="7"/>
      <c r="AZU186" s="7"/>
      <c r="AZV186" s="7"/>
      <c r="AZW186" s="7"/>
      <c r="AZX186" s="7"/>
      <c r="AZY186" s="7"/>
      <c r="AZZ186" s="7"/>
      <c r="BAA186" s="7"/>
      <c r="BAB186" s="7"/>
      <c r="BAC186" s="7"/>
      <c r="BAD186" s="7"/>
      <c r="BAE186" s="7"/>
      <c r="BAF186" s="7"/>
      <c r="BAG186" s="7"/>
      <c r="BAH186" s="7"/>
      <c r="BAI186" s="7"/>
      <c r="BAJ186" s="7"/>
      <c r="BAK186" s="7"/>
      <c r="BAL186" s="7"/>
      <c r="BAM186" s="7"/>
      <c r="BAN186" s="7"/>
      <c r="BAO186" s="7"/>
      <c r="BAP186" s="7"/>
      <c r="BAQ186" s="7"/>
      <c r="BAR186" s="7"/>
      <c r="BAS186" s="7"/>
      <c r="BAT186" s="7"/>
      <c r="BAU186" s="7"/>
      <c r="BAV186" s="7"/>
      <c r="BAW186" s="7"/>
      <c r="BAX186" s="7"/>
      <c r="BAY186" s="7"/>
      <c r="BAZ186" s="7"/>
      <c r="BBA186" s="7"/>
      <c r="BBB186" s="7"/>
      <c r="BBC186" s="7"/>
      <c r="BBD186" s="7"/>
      <c r="BBE186" s="7"/>
      <c r="BBF186" s="7"/>
      <c r="BBG186" s="7"/>
      <c r="BBH186" s="7"/>
      <c r="BBI186" s="7"/>
      <c r="BBJ186" s="7"/>
      <c r="BBK186" s="7"/>
      <c r="BBL186" s="7"/>
      <c r="BBM186" s="7"/>
      <c r="BBN186" s="7"/>
      <c r="BBO186" s="7"/>
      <c r="BBP186" s="7"/>
      <c r="BBQ186" s="7"/>
      <c r="BBR186" s="7"/>
      <c r="BBS186" s="7"/>
      <c r="BBT186" s="7"/>
      <c r="BBU186" s="7"/>
      <c r="BBV186" s="7"/>
      <c r="BBW186" s="7"/>
      <c r="BBX186" s="7"/>
      <c r="BBY186" s="7"/>
      <c r="BBZ186" s="7"/>
      <c r="BCA186" s="7"/>
      <c r="BCB186" s="7"/>
      <c r="BCC186" s="7"/>
      <c r="BCD186" s="7"/>
      <c r="BCE186" s="7"/>
      <c r="BCF186" s="7"/>
      <c r="BCG186" s="7"/>
      <c r="BCH186" s="7"/>
      <c r="BCI186" s="7"/>
      <c r="BCJ186" s="7"/>
      <c r="BCK186" s="7"/>
      <c r="BCL186" s="7"/>
      <c r="BCM186" s="7"/>
      <c r="BCN186" s="7"/>
      <c r="BCO186" s="7"/>
      <c r="BCP186" s="7"/>
      <c r="BCQ186" s="7"/>
      <c r="BCR186" s="7"/>
      <c r="BCS186" s="7"/>
      <c r="BCT186" s="7"/>
      <c r="BCU186" s="7"/>
      <c r="BCV186" s="7"/>
      <c r="BCW186" s="7"/>
      <c r="BCX186" s="7"/>
      <c r="BCY186" s="7"/>
      <c r="BCZ186" s="7"/>
      <c r="BDA186" s="7"/>
      <c r="BDB186" s="7"/>
      <c r="BDC186" s="7"/>
      <c r="BDD186" s="7"/>
      <c r="BDE186" s="7"/>
      <c r="BDF186" s="7"/>
      <c r="BDG186" s="7"/>
      <c r="BDH186" s="7"/>
      <c r="BDI186" s="7"/>
      <c r="BDJ186" s="7"/>
      <c r="BDK186" s="7"/>
      <c r="BDL186" s="7"/>
      <c r="BDM186" s="7"/>
      <c r="BDN186" s="7"/>
      <c r="BDO186" s="7"/>
      <c r="BDP186" s="7"/>
      <c r="BDQ186" s="7"/>
      <c r="BDR186" s="7"/>
      <c r="BDS186" s="7"/>
      <c r="BDT186" s="7"/>
      <c r="BDU186" s="7"/>
      <c r="BDV186" s="7"/>
      <c r="BDW186" s="7"/>
      <c r="BDX186" s="7"/>
      <c r="BDY186" s="7"/>
      <c r="BDZ186" s="7"/>
      <c r="BEA186" s="7"/>
      <c r="BEB186" s="7"/>
      <c r="BEC186" s="7"/>
      <c r="BED186" s="7"/>
      <c r="BEE186" s="7"/>
      <c r="BEF186" s="7"/>
      <c r="BEG186" s="7"/>
      <c r="BEH186" s="7"/>
      <c r="BEI186" s="7"/>
      <c r="BEJ186" s="7"/>
      <c r="BEK186" s="7"/>
      <c r="BEL186" s="7"/>
      <c r="BEM186" s="7"/>
      <c r="BEN186" s="7"/>
      <c r="BEO186" s="7"/>
      <c r="BEP186" s="7"/>
      <c r="BEQ186" s="7"/>
      <c r="BER186" s="7"/>
      <c r="BES186" s="7"/>
      <c r="BET186" s="7"/>
      <c r="BEU186" s="7"/>
      <c r="BEV186" s="7"/>
      <c r="BEW186" s="7"/>
      <c r="BEX186" s="7"/>
      <c r="BEY186" s="7"/>
      <c r="BEZ186" s="7"/>
      <c r="BFA186" s="7"/>
      <c r="BFB186" s="7"/>
      <c r="BFC186" s="7"/>
      <c r="BFD186" s="7"/>
      <c r="BFE186" s="7"/>
      <c r="BFF186" s="7"/>
      <c r="BFG186" s="7"/>
      <c r="BFH186" s="7"/>
      <c r="BFI186" s="7"/>
      <c r="BFJ186" s="7"/>
      <c r="BFK186" s="7"/>
      <c r="BFL186" s="7"/>
      <c r="BFM186" s="7"/>
      <c r="BFN186" s="7"/>
      <c r="BFO186" s="7"/>
      <c r="BFP186" s="7"/>
      <c r="BFQ186" s="7"/>
      <c r="BFR186" s="7"/>
      <c r="BFS186" s="7"/>
      <c r="BFT186" s="7"/>
      <c r="BFU186" s="7"/>
      <c r="BFV186" s="7"/>
      <c r="BFW186" s="7"/>
      <c r="BFX186" s="7"/>
      <c r="BFY186" s="7"/>
      <c r="BFZ186" s="7"/>
      <c r="BGA186" s="7"/>
      <c r="BGB186" s="7"/>
      <c r="BGC186" s="7"/>
      <c r="BGD186" s="7"/>
      <c r="BGE186" s="7"/>
      <c r="BGF186" s="7"/>
      <c r="BGG186" s="7"/>
      <c r="BGH186" s="7"/>
      <c r="BGI186" s="7"/>
      <c r="BGJ186" s="7"/>
      <c r="BGK186" s="7"/>
      <c r="BGL186" s="7"/>
      <c r="BGM186" s="7"/>
      <c r="BGN186" s="7"/>
      <c r="BGO186" s="7"/>
      <c r="BGP186" s="7"/>
      <c r="BGQ186" s="7"/>
      <c r="BGR186" s="7"/>
      <c r="BGS186" s="7"/>
      <c r="BGT186" s="7"/>
      <c r="BGU186" s="7"/>
      <c r="BGV186" s="7"/>
      <c r="BGW186" s="7"/>
      <c r="BGX186" s="7"/>
      <c r="BGY186" s="7"/>
      <c r="BGZ186" s="7"/>
      <c r="BHA186" s="7"/>
      <c r="BHB186" s="7"/>
      <c r="BHC186" s="7"/>
      <c r="BHD186" s="7"/>
      <c r="BHE186" s="7"/>
      <c r="BHF186" s="7"/>
      <c r="BHG186" s="7"/>
      <c r="BHH186" s="7"/>
      <c r="BHI186" s="7"/>
      <c r="BHJ186" s="7"/>
      <c r="BHK186" s="7"/>
      <c r="BHL186" s="7"/>
      <c r="BHM186" s="7"/>
      <c r="BHN186" s="7"/>
      <c r="BHO186" s="7"/>
      <c r="BHP186" s="7"/>
      <c r="BHQ186" s="7"/>
      <c r="BHR186" s="7"/>
      <c r="BHS186" s="7"/>
      <c r="BHT186" s="7"/>
      <c r="BHU186" s="7"/>
      <c r="BHV186" s="7"/>
      <c r="BHW186" s="7"/>
      <c r="BHX186" s="7"/>
      <c r="BHY186" s="7"/>
      <c r="BHZ186" s="7"/>
      <c r="BIA186" s="7"/>
      <c r="BIB186" s="7"/>
      <c r="BIC186" s="7"/>
      <c r="BID186" s="7"/>
      <c r="BIE186" s="7"/>
      <c r="BIF186" s="7"/>
      <c r="BIG186" s="7"/>
      <c r="BIH186" s="7"/>
      <c r="BII186" s="7"/>
      <c r="BIJ186" s="7"/>
      <c r="BIK186" s="7"/>
      <c r="BIL186" s="7"/>
      <c r="BIM186" s="7"/>
      <c r="BIN186" s="7"/>
      <c r="BIO186" s="7"/>
      <c r="BIP186" s="7"/>
      <c r="BIQ186" s="7"/>
      <c r="BIR186" s="7"/>
      <c r="BIS186" s="7"/>
      <c r="BIT186" s="7"/>
      <c r="BIU186" s="7"/>
      <c r="BIV186" s="7"/>
      <c r="BIW186" s="7"/>
      <c r="BIX186" s="7"/>
      <c r="BIY186" s="7"/>
      <c r="BIZ186" s="7"/>
      <c r="BJA186" s="7"/>
      <c r="BJB186" s="7"/>
      <c r="BJC186" s="7"/>
      <c r="BJD186" s="7"/>
      <c r="BJE186" s="7"/>
      <c r="BJF186" s="7"/>
      <c r="BJG186" s="7"/>
      <c r="BJH186" s="7"/>
      <c r="BJI186" s="7"/>
      <c r="BJJ186" s="7"/>
      <c r="BJK186" s="7"/>
      <c r="BJL186" s="7"/>
      <c r="BJM186" s="7"/>
      <c r="BJN186" s="7"/>
      <c r="BJO186" s="7"/>
      <c r="BJP186" s="7"/>
      <c r="BJQ186" s="7"/>
      <c r="BJR186" s="7"/>
      <c r="BJS186" s="7"/>
      <c r="BJT186" s="7"/>
      <c r="BJU186" s="7"/>
      <c r="BJV186" s="7"/>
      <c r="BJW186" s="7"/>
      <c r="BJX186" s="7"/>
      <c r="BJY186" s="7"/>
      <c r="BJZ186" s="7"/>
      <c r="BKA186" s="7"/>
      <c r="BKB186" s="7"/>
      <c r="BKC186" s="7"/>
      <c r="BKD186" s="7"/>
      <c r="BKE186" s="7"/>
      <c r="BKF186" s="7"/>
      <c r="BKG186" s="7"/>
      <c r="BKH186" s="7"/>
      <c r="BKI186" s="7"/>
      <c r="BKJ186" s="7"/>
      <c r="BKK186" s="7"/>
      <c r="BKL186" s="7"/>
      <c r="BKM186" s="7"/>
      <c r="BKN186" s="7"/>
      <c r="BKO186" s="7"/>
      <c r="BKP186" s="7"/>
      <c r="BKQ186" s="7"/>
      <c r="BKR186" s="7"/>
      <c r="BKS186" s="7"/>
      <c r="BKT186" s="7"/>
      <c r="BKU186" s="7"/>
      <c r="BKV186" s="7"/>
      <c r="BKW186" s="7"/>
      <c r="BKX186" s="7"/>
      <c r="BKY186" s="7"/>
      <c r="BKZ186" s="7"/>
      <c r="BLA186" s="7"/>
      <c r="BLB186" s="7"/>
      <c r="BLC186" s="7"/>
      <c r="BLD186" s="7"/>
      <c r="BLE186" s="7"/>
      <c r="BLF186" s="7"/>
      <c r="BLG186" s="7"/>
      <c r="BLH186" s="7"/>
      <c r="BLI186" s="7"/>
      <c r="BLJ186" s="7"/>
      <c r="BLK186" s="7"/>
      <c r="BLL186" s="7"/>
      <c r="BLM186" s="7"/>
      <c r="BLN186" s="7"/>
      <c r="BLO186" s="7"/>
      <c r="BLP186" s="7"/>
      <c r="BLQ186" s="7"/>
      <c r="BLR186" s="7"/>
      <c r="BLS186" s="7"/>
      <c r="BLT186" s="7"/>
      <c r="BLU186" s="7"/>
      <c r="BLV186" s="7"/>
      <c r="BLW186" s="7"/>
      <c r="BLX186" s="7"/>
      <c r="BLY186" s="7"/>
      <c r="BLZ186" s="7"/>
      <c r="BMA186" s="7"/>
      <c r="BMB186" s="7"/>
      <c r="BMC186" s="7"/>
      <c r="BMD186" s="7"/>
      <c r="BME186" s="7"/>
      <c r="BMF186" s="7"/>
      <c r="BMG186" s="7"/>
      <c r="BMH186" s="7"/>
      <c r="BMI186" s="7"/>
      <c r="BMJ186" s="7"/>
      <c r="BMK186" s="7"/>
      <c r="BML186" s="7"/>
      <c r="BMM186" s="7"/>
      <c r="BMN186" s="7"/>
      <c r="BMO186" s="7"/>
      <c r="BMP186" s="7"/>
      <c r="BMQ186" s="7"/>
      <c r="BMR186" s="7"/>
      <c r="BMS186" s="7"/>
      <c r="BMT186" s="7"/>
      <c r="BMU186" s="7"/>
      <c r="BMV186" s="7"/>
      <c r="BMW186" s="7"/>
      <c r="BMX186" s="7"/>
      <c r="BMY186" s="7"/>
      <c r="BMZ186" s="7"/>
      <c r="BNA186" s="7"/>
      <c r="BNB186" s="7"/>
      <c r="BNC186" s="7"/>
      <c r="BND186" s="7"/>
      <c r="BNE186" s="7"/>
      <c r="BNF186" s="7"/>
      <c r="BNG186" s="7"/>
      <c r="BNH186" s="7"/>
      <c r="BNI186" s="7"/>
      <c r="BNJ186" s="7"/>
      <c r="BNK186" s="7"/>
      <c r="BNL186" s="7"/>
      <c r="BNM186" s="7"/>
      <c r="BNN186" s="7"/>
      <c r="BNO186" s="7"/>
      <c r="BNP186" s="7"/>
      <c r="BNQ186" s="7"/>
      <c r="BNR186" s="7"/>
      <c r="BNS186" s="7"/>
      <c r="BNT186" s="7"/>
      <c r="BNU186" s="7"/>
      <c r="BNV186" s="7"/>
      <c r="BNW186" s="7"/>
      <c r="BNX186" s="7"/>
      <c r="BNY186" s="7"/>
      <c r="BNZ186" s="7"/>
      <c r="BOA186" s="7"/>
      <c r="BOB186" s="7"/>
      <c r="BOC186" s="7"/>
      <c r="BOD186" s="7"/>
      <c r="BOE186" s="7"/>
      <c r="BOF186" s="7"/>
      <c r="BOG186" s="7"/>
      <c r="BOH186" s="7"/>
      <c r="BOI186" s="7"/>
      <c r="BOJ186" s="7"/>
      <c r="BOK186" s="7"/>
      <c r="BOL186" s="7"/>
      <c r="BOM186" s="7"/>
      <c r="BON186" s="7"/>
      <c r="BOO186" s="7"/>
      <c r="BOP186" s="7"/>
      <c r="BOQ186" s="7"/>
      <c r="BOR186" s="7"/>
      <c r="BOS186" s="7"/>
      <c r="BOT186" s="7"/>
      <c r="BOU186" s="7"/>
      <c r="BOV186" s="7"/>
      <c r="BOW186" s="7"/>
      <c r="BOX186" s="7"/>
      <c r="BOY186" s="7"/>
      <c r="BOZ186" s="7"/>
      <c r="BPA186" s="7"/>
      <c r="BPB186" s="7"/>
      <c r="BPC186" s="7"/>
      <c r="BPD186" s="7"/>
      <c r="BPE186" s="7"/>
      <c r="BPF186" s="7"/>
      <c r="BPG186" s="7"/>
      <c r="BPH186" s="7"/>
      <c r="BPI186" s="7"/>
      <c r="BPJ186" s="7"/>
      <c r="BPK186" s="7"/>
      <c r="BPL186" s="7"/>
      <c r="BPM186" s="7"/>
      <c r="BPN186" s="7"/>
      <c r="BPO186" s="7"/>
      <c r="BPP186" s="7"/>
      <c r="BPQ186" s="7"/>
      <c r="BPR186" s="7"/>
      <c r="BPS186" s="7"/>
      <c r="BPT186" s="7"/>
      <c r="BPU186" s="7"/>
      <c r="BPV186" s="7"/>
      <c r="BPW186" s="7"/>
      <c r="BPX186" s="7"/>
      <c r="BPY186" s="7"/>
      <c r="BPZ186" s="7"/>
      <c r="BQA186" s="7"/>
      <c r="BQB186" s="7"/>
      <c r="BQC186" s="7"/>
      <c r="BQD186" s="7"/>
      <c r="BQE186" s="7"/>
      <c r="BQF186" s="7"/>
      <c r="BQG186" s="7"/>
      <c r="BQH186" s="7"/>
      <c r="BQI186" s="7"/>
      <c r="BQJ186" s="7"/>
      <c r="BQK186" s="7"/>
      <c r="BQL186" s="7"/>
      <c r="BQM186" s="7"/>
      <c r="BQN186" s="7"/>
      <c r="BQO186" s="7"/>
      <c r="BQP186" s="7"/>
      <c r="BQQ186" s="7"/>
      <c r="BQR186" s="7"/>
      <c r="BQS186" s="7"/>
      <c r="BQT186" s="7"/>
      <c r="BQU186" s="7"/>
      <c r="BQV186" s="7"/>
      <c r="BQW186" s="7"/>
      <c r="BQX186" s="7"/>
      <c r="BQY186" s="7"/>
      <c r="BQZ186" s="7"/>
      <c r="BRA186" s="7"/>
      <c r="BRB186" s="7"/>
      <c r="BRC186" s="7"/>
      <c r="BRD186" s="7"/>
      <c r="BRE186" s="7"/>
      <c r="BRF186" s="7"/>
      <c r="BRG186" s="7"/>
      <c r="BRH186" s="7"/>
      <c r="BRI186" s="7"/>
      <c r="BRJ186" s="7"/>
      <c r="BRK186" s="7"/>
      <c r="BRL186" s="7"/>
      <c r="BRM186" s="7"/>
      <c r="BRN186" s="7"/>
      <c r="BRO186" s="7"/>
      <c r="BRP186" s="7"/>
      <c r="BRQ186" s="7"/>
      <c r="BRR186" s="7"/>
      <c r="BRS186" s="7"/>
      <c r="BRT186" s="7"/>
      <c r="BRU186" s="7"/>
      <c r="BRV186" s="7"/>
      <c r="BRW186" s="7"/>
      <c r="BRX186" s="7"/>
      <c r="BRY186" s="7"/>
      <c r="BRZ186" s="7"/>
      <c r="BSA186" s="7"/>
      <c r="BSB186" s="7"/>
      <c r="BSC186" s="7"/>
      <c r="BSD186" s="7"/>
      <c r="BSE186" s="7"/>
      <c r="BSF186" s="7"/>
      <c r="BSG186" s="7"/>
      <c r="BSH186" s="7"/>
      <c r="BSI186" s="7"/>
      <c r="BSJ186" s="7"/>
      <c r="BSK186" s="7"/>
      <c r="BSL186" s="7"/>
      <c r="BSM186" s="7"/>
      <c r="BSN186" s="7"/>
      <c r="BSO186" s="7"/>
      <c r="BSP186" s="7"/>
      <c r="BSQ186" s="7"/>
      <c r="BSR186" s="7"/>
      <c r="BSS186" s="7"/>
      <c r="BST186" s="7"/>
      <c r="BSU186" s="7"/>
      <c r="BSV186" s="7"/>
      <c r="BSW186" s="7"/>
      <c r="BSX186" s="7"/>
      <c r="BSY186" s="7"/>
      <c r="BSZ186" s="7"/>
      <c r="BTA186" s="7"/>
      <c r="BTB186" s="7"/>
      <c r="BTC186" s="7"/>
      <c r="BTD186" s="7"/>
      <c r="BTE186" s="7"/>
      <c r="BTF186" s="7"/>
      <c r="BTG186" s="7"/>
      <c r="BTH186" s="7"/>
      <c r="BTI186" s="7"/>
      <c r="BTJ186" s="7"/>
      <c r="BTK186" s="7"/>
      <c r="BTL186" s="7"/>
      <c r="BTM186" s="7"/>
      <c r="BTN186" s="7"/>
      <c r="BTO186" s="7"/>
      <c r="BTP186" s="7"/>
      <c r="BTQ186" s="7"/>
      <c r="BTR186" s="7"/>
      <c r="BTS186" s="7"/>
      <c r="BTT186" s="7"/>
      <c r="BTU186" s="7"/>
      <c r="BTV186" s="7"/>
      <c r="BTW186" s="7"/>
      <c r="BTX186" s="7"/>
      <c r="BTY186" s="7"/>
      <c r="BTZ186" s="7"/>
      <c r="BUA186" s="7"/>
      <c r="BUB186" s="7"/>
      <c r="BUC186" s="7"/>
      <c r="BUD186" s="7"/>
      <c r="BUE186" s="7"/>
      <c r="BUF186" s="7"/>
      <c r="BUG186" s="7"/>
      <c r="BUH186" s="7"/>
      <c r="BUI186" s="7"/>
      <c r="BUJ186" s="7"/>
      <c r="BUK186" s="7"/>
      <c r="BUL186" s="7"/>
      <c r="BUM186" s="7"/>
      <c r="BUN186" s="7"/>
      <c r="BUO186" s="7"/>
      <c r="BUP186" s="7"/>
      <c r="BUQ186" s="7"/>
      <c r="BUR186" s="7"/>
      <c r="BUS186" s="7"/>
      <c r="BUT186" s="7"/>
      <c r="BUU186" s="7"/>
      <c r="BUV186" s="7"/>
      <c r="BUW186" s="7"/>
      <c r="BUX186" s="7"/>
      <c r="BUY186" s="7"/>
      <c r="BUZ186" s="7"/>
      <c r="BVA186" s="7"/>
      <c r="BVB186" s="7"/>
      <c r="BVC186" s="7"/>
      <c r="BVD186" s="7"/>
      <c r="BVE186" s="7"/>
      <c r="BVF186" s="7"/>
      <c r="BVG186" s="7"/>
      <c r="BVH186" s="7"/>
      <c r="BVI186" s="7"/>
      <c r="BVJ186" s="7"/>
      <c r="BVK186" s="7"/>
      <c r="BVL186" s="7"/>
      <c r="BVM186" s="7"/>
      <c r="BVN186" s="7"/>
      <c r="BVO186" s="7"/>
      <c r="BVP186" s="7"/>
      <c r="BVQ186" s="7"/>
      <c r="BVR186" s="7"/>
      <c r="BVS186" s="7"/>
      <c r="BVT186" s="7"/>
      <c r="BVU186" s="7"/>
      <c r="BVV186" s="7"/>
      <c r="BVW186" s="7"/>
      <c r="BVX186" s="7"/>
      <c r="BVY186" s="7"/>
      <c r="BVZ186" s="7"/>
      <c r="BWA186" s="7"/>
      <c r="BWB186" s="7"/>
      <c r="BWC186" s="7"/>
      <c r="BWD186" s="7"/>
      <c r="BWE186" s="7"/>
      <c r="BWF186" s="7"/>
      <c r="BWG186" s="7"/>
      <c r="BWH186" s="7"/>
      <c r="BWI186" s="7"/>
      <c r="BWJ186" s="7"/>
      <c r="BWK186" s="7"/>
      <c r="BWL186" s="7"/>
      <c r="BWM186" s="7"/>
      <c r="BWN186" s="7"/>
      <c r="BWO186" s="7"/>
      <c r="BWP186" s="7"/>
      <c r="BWQ186" s="7"/>
      <c r="BWR186" s="7"/>
      <c r="BWS186" s="7"/>
      <c r="BWT186" s="7"/>
      <c r="BWU186" s="7"/>
      <c r="BWV186" s="7"/>
      <c r="BWW186" s="7"/>
      <c r="BWX186" s="7"/>
      <c r="BWY186" s="7"/>
      <c r="BWZ186" s="7"/>
      <c r="BXA186" s="7"/>
      <c r="BXB186" s="7"/>
      <c r="BXC186" s="7"/>
      <c r="BXD186" s="7"/>
      <c r="BXE186" s="7"/>
      <c r="BXF186" s="7"/>
      <c r="BXG186" s="7"/>
      <c r="BXH186" s="7"/>
      <c r="BXI186" s="7"/>
      <c r="BXJ186" s="7"/>
      <c r="BXK186" s="7"/>
      <c r="BXL186" s="7"/>
      <c r="BXM186" s="7"/>
      <c r="BXN186" s="7"/>
      <c r="BXO186" s="7"/>
      <c r="BXP186" s="7"/>
      <c r="BXQ186" s="7"/>
      <c r="BXR186" s="7"/>
      <c r="BXS186" s="7"/>
      <c r="BXT186" s="7"/>
      <c r="BXU186" s="7"/>
      <c r="BXV186" s="7"/>
      <c r="BXW186" s="7"/>
      <c r="BXX186" s="7"/>
      <c r="BXY186" s="7"/>
      <c r="BXZ186" s="7"/>
      <c r="BYA186" s="7"/>
      <c r="BYB186" s="7"/>
      <c r="BYC186" s="7"/>
      <c r="BYD186" s="7"/>
      <c r="BYE186" s="7"/>
      <c r="BYF186" s="7"/>
      <c r="BYG186" s="7"/>
      <c r="BYH186" s="7"/>
      <c r="BYI186" s="7"/>
      <c r="BYJ186" s="7"/>
      <c r="BYK186" s="7"/>
      <c r="BYL186" s="7"/>
      <c r="BYM186" s="7"/>
      <c r="BYN186" s="7"/>
      <c r="BYO186" s="7"/>
      <c r="BYP186" s="7"/>
      <c r="BYQ186" s="7"/>
      <c r="BYR186" s="7"/>
      <c r="BYS186" s="7"/>
      <c r="BYT186" s="7"/>
      <c r="BYU186" s="7"/>
      <c r="BYV186" s="7"/>
      <c r="BYW186" s="7"/>
      <c r="BYX186" s="7"/>
      <c r="BYY186" s="7"/>
      <c r="BYZ186" s="7"/>
      <c r="BZA186" s="7"/>
      <c r="BZB186" s="7"/>
      <c r="BZC186" s="7"/>
      <c r="BZD186" s="7"/>
      <c r="BZE186" s="7"/>
      <c r="BZF186" s="7"/>
      <c r="BZG186" s="7"/>
      <c r="BZH186" s="7"/>
      <c r="BZI186" s="7"/>
      <c r="BZJ186" s="7"/>
      <c r="BZK186" s="7"/>
      <c r="BZL186" s="7"/>
      <c r="BZM186" s="7"/>
      <c r="BZN186" s="7"/>
      <c r="BZO186" s="7"/>
      <c r="BZP186" s="7"/>
      <c r="BZQ186" s="7"/>
      <c r="BZR186" s="7"/>
      <c r="BZS186" s="7"/>
      <c r="BZT186" s="7"/>
      <c r="BZU186" s="7"/>
      <c r="BZV186" s="7"/>
      <c r="BZW186" s="7"/>
      <c r="BZX186" s="7"/>
      <c r="BZY186" s="7"/>
      <c r="BZZ186" s="7"/>
      <c r="CAA186" s="7"/>
      <c r="CAB186" s="7"/>
      <c r="CAC186" s="7"/>
      <c r="CAD186" s="7"/>
      <c r="CAE186" s="7"/>
      <c r="CAF186" s="7"/>
      <c r="CAG186" s="7"/>
      <c r="CAH186" s="7"/>
      <c r="CAI186" s="7"/>
      <c r="CAJ186" s="7"/>
      <c r="CAK186" s="7"/>
      <c r="CAL186" s="7"/>
      <c r="CAM186" s="7"/>
      <c r="CAN186" s="7"/>
      <c r="CAO186" s="7"/>
      <c r="CAP186" s="7"/>
      <c r="CAQ186" s="7"/>
      <c r="CAR186" s="7"/>
      <c r="CAS186" s="7"/>
      <c r="CAT186" s="7"/>
      <c r="CAU186" s="7"/>
      <c r="CAV186" s="7"/>
      <c r="CAW186" s="7"/>
      <c r="CAX186" s="7"/>
      <c r="CAY186" s="7"/>
      <c r="CAZ186" s="7"/>
      <c r="CBA186" s="7"/>
      <c r="CBB186" s="7"/>
      <c r="CBC186" s="7"/>
      <c r="CBD186" s="7"/>
      <c r="CBE186" s="7"/>
      <c r="CBF186" s="7"/>
      <c r="CBG186" s="7"/>
      <c r="CBH186" s="7"/>
      <c r="CBI186" s="7"/>
      <c r="CBJ186" s="7"/>
      <c r="CBK186" s="7"/>
      <c r="CBL186" s="7"/>
      <c r="CBM186" s="7"/>
      <c r="CBN186" s="7"/>
      <c r="CBO186" s="7"/>
      <c r="CBP186" s="7"/>
      <c r="CBQ186" s="7"/>
      <c r="CBR186" s="7"/>
      <c r="CBS186" s="7"/>
      <c r="CBT186" s="7"/>
      <c r="CBU186" s="7"/>
      <c r="CBV186" s="7"/>
      <c r="CBW186" s="7"/>
      <c r="CBX186" s="7"/>
      <c r="CBY186" s="7"/>
      <c r="CBZ186" s="7"/>
      <c r="CCA186" s="7"/>
      <c r="CCB186" s="7"/>
      <c r="CCC186" s="7"/>
      <c r="CCD186" s="7"/>
      <c r="CCE186" s="7"/>
      <c r="CCF186" s="7"/>
      <c r="CCG186" s="7"/>
      <c r="CCH186" s="7"/>
      <c r="CCI186" s="7"/>
      <c r="CCJ186" s="7"/>
      <c r="CCK186" s="7"/>
      <c r="CCL186" s="7"/>
      <c r="CCM186" s="7"/>
      <c r="CCN186" s="7"/>
      <c r="CCO186" s="7"/>
      <c r="CCP186" s="7"/>
      <c r="CCQ186" s="7"/>
      <c r="CCR186" s="7"/>
      <c r="CCS186" s="7"/>
      <c r="CCT186" s="7"/>
      <c r="CCU186" s="7"/>
      <c r="CCV186" s="7"/>
      <c r="CCW186" s="7"/>
      <c r="CCX186" s="7"/>
      <c r="CCY186" s="7"/>
      <c r="CCZ186" s="7"/>
      <c r="CDA186" s="7"/>
      <c r="CDB186" s="7"/>
      <c r="CDC186" s="7"/>
      <c r="CDD186" s="7"/>
      <c r="CDE186" s="7"/>
      <c r="CDF186" s="7"/>
      <c r="CDG186" s="7"/>
      <c r="CDH186" s="7"/>
      <c r="CDI186" s="7"/>
      <c r="CDJ186" s="7"/>
      <c r="CDK186" s="7"/>
      <c r="CDL186" s="7"/>
      <c r="CDM186" s="7"/>
      <c r="CDN186" s="7"/>
      <c r="CDO186" s="7"/>
      <c r="CDP186" s="7"/>
      <c r="CDQ186" s="7"/>
      <c r="CDR186" s="7"/>
      <c r="CDS186" s="7"/>
      <c r="CDT186" s="7"/>
      <c r="CDU186" s="7"/>
      <c r="CDV186" s="7"/>
      <c r="CDW186" s="7"/>
      <c r="CDX186" s="7"/>
      <c r="CDY186" s="7"/>
      <c r="CDZ186" s="7"/>
      <c r="CEA186" s="7"/>
      <c r="CEB186" s="7"/>
      <c r="CEC186" s="7"/>
      <c r="CED186" s="7"/>
      <c r="CEE186" s="7"/>
      <c r="CEF186" s="7"/>
      <c r="CEG186" s="7"/>
      <c r="CEH186" s="7"/>
      <c r="CEI186" s="7"/>
      <c r="CEJ186" s="7"/>
      <c r="CEK186" s="7"/>
      <c r="CEL186" s="7"/>
      <c r="CEM186" s="7"/>
      <c r="CEN186" s="7"/>
      <c r="CEO186" s="7"/>
      <c r="CEP186" s="7"/>
      <c r="CEQ186" s="7"/>
      <c r="CER186" s="7"/>
      <c r="CES186" s="7"/>
      <c r="CET186" s="7"/>
      <c r="CEU186" s="7"/>
      <c r="CEV186" s="7"/>
      <c r="CEW186" s="7"/>
      <c r="CEX186" s="7"/>
      <c r="CEY186" s="7"/>
      <c r="CEZ186" s="7"/>
      <c r="CFA186" s="7"/>
      <c r="CFB186" s="7"/>
      <c r="CFC186" s="7"/>
      <c r="CFD186" s="7"/>
      <c r="CFE186" s="7"/>
      <c r="CFF186" s="7"/>
      <c r="CFG186" s="7"/>
      <c r="CFH186" s="7"/>
      <c r="CFI186" s="7"/>
      <c r="CFJ186" s="7"/>
      <c r="CFK186" s="7"/>
      <c r="CFL186" s="7"/>
      <c r="CFM186" s="7"/>
      <c r="CFN186" s="7"/>
      <c r="CFO186" s="7"/>
      <c r="CFP186" s="7"/>
      <c r="CFQ186" s="7"/>
      <c r="CFR186" s="7"/>
      <c r="CFS186" s="7"/>
      <c r="CFT186" s="7"/>
      <c r="CFU186" s="7"/>
      <c r="CFV186" s="7"/>
      <c r="CFW186" s="7"/>
      <c r="CFX186" s="7"/>
      <c r="CFY186" s="7"/>
      <c r="CFZ186" s="7"/>
      <c r="CGA186" s="7"/>
      <c r="CGB186" s="7"/>
      <c r="CGC186" s="7"/>
      <c r="CGD186" s="7"/>
      <c r="CGE186" s="7"/>
      <c r="CGF186" s="7"/>
      <c r="CGG186" s="7"/>
      <c r="CGH186" s="7"/>
      <c r="CGI186" s="7"/>
      <c r="CGJ186" s="7"/>
      <c r="CGK186" s="7"/>
      <c r="CGL186" s="7"/>
      <c r="CGM186" s="7"/>
      <c r="CGN186" s="7"/>
      <c r="CGO186" s="7"/>
      <c r="CGP186" s="7"/>
      <c r="CGQ186" s="7"/>
      <c r="CGR186" s="7"/>
      <c r="CGS186" s="7"/>
      <c r="CGT186" s="7"/>
      <c r="CGU186" s="7"/>
      <c r="CGV186" s="7"/>
      <c r="CGW186" s="7"/>
      <c r="CGX186" s="7"/>
      <c r="CGY186" s="7"/>
      <c r="CGZ186" s="7"/>
      <c r="CHA186" s="7"/>
      <c r="CHB186" s="7"/>
      <c r="CHC186" s="7"/>
      <c r="CHD186" s="7"/>
      <c r="CHE186" s="7"/>
      <c r="CHF186" s="7"/>
      <c r="CHG186" s="7"/>
      <c r="CHH186" s="7"/>
      <c r="CHI186" s="7"/>
      <c r="CHJ186" s="7"/>
      <c r="CHK186" s="7"/>
      <c r="CHL186" s="7"/>
      <c r="CHM186" s="7"/>
      <c r="CHN186" s="7"/>
      <c r="CHO186" s="7"/>
      <c r="CHP186" s="7"/>
      <c r="CHQ186" s="7"/>
      <c r="CHR186" s="7"/>
      <c r="CHS186" s="7"/>
      <c r="CHT186" s="7"/>
      <c r="CHU186" s="7"/>
      <c r="CHV186" s="7"/>
      <c r="CHW186" s="7"/>
      <c r="CHX186" s="7"/>
      <c r="CHY186" s="7"/>
      <c r="CHZ186" s="7"/>
      <c r="CIA186" s="7"/>
      <c r="CIB186" s="7"/>
      <c r="CIC186" s="7"/>
      <c r="CID186" s="7"/>
      <c r="CIE186" s="7"/>
      <c r="CIF186" s="7"/>
      <c r="CIG186" s="7"/>
      <c r="CIH186" s="7"/>
      <c r="CII186" s="7"/>
      <c r="CIJ186" s="7"/>
      <c r="CIK186" s="7"/>
      <c r="CIL186" s="7"/>
      <c r="CIM186" s="7"/>
      <c r="CIN186" s="7"/>
      <c r="CIO186" s="7"/>
      <c r="CIP186" s="7"/>
      <c r="CIQ186" s="7"/>
      <c r="CIR186" s="7"/>
      <c r="CIS186" s="7"/>
      <c r="CIT186" s="7"/>
      <c r="CIU186" s="7"/>
      <c r="CIV186" s="7"/>
      <c r="CIW186" s="7"/>
      <c r="CIX186" s="7"/>
      <c r="CIY186" s="7"/>
      <c r="CIZ186" s="7"/>
      <c r="CJA186" s="7"/>
      <c r="CJB186" s="7"/>
      <c r="CJC186" s="7"/>
      <c r="CJD186" s="7"/>
      <c r="CJE186" s="7"/>
      <c r="CJF186" s="7"/>
      <c r="CJG186" s="7"/>
      <c r="CJH186" s="7"/>
      <c r="CJI186" s="7"/>
      <c r="CJJ186" s="7"/>
      <c r="CJK186" s="7"/>
      <c r="CJL186" s="7"/>
      <c r="CJM186" s="7"/>
      <c r="CJN186" s="7"/>
      <c r="CJO186" s="7"/>
      <c r="CJP186" s="7"/>
      <c r="CJQ186" s="7"/>
      <c r="CJR186" s="7"/>
      <c r="CJS186" s="7"/>
      <c r="CJT186" s="7"/>
      <c r="CJU186" s="7"/>
      <c r="CJV186" s="7"/>
      <c r="CJW186" s="7"/>
      <c r="CJX186" s="7"/>
      <c r="CJY186" s="7"/>
      <c r="CJZ186" s="7"/>
      <c r="CKA186" s="7"/>
      <c r="CKB186" s="7"/>
      <c r="CKC186" s="7"/>
      <c r="CKD186" s="7"/>
      <c r="CKE186" s="7"/>
      <c r="CKF186" s="7"/>
      <c r="CKG186" s="7"/>
      <c r="CKH186" s="7"/>
      <c r="CKI186" s="7"/>
      <c r="CKJ186" s="7"/>
      <c r="CKK186" s="7"/>
      <c r="CKL186" s="7"/>
      <c r="CKM186" s="7"/>
      <c r="CKN186" s="7"/>
      <c r="CKO186" s="7"/>
      <c r="CKP186" s="7"/>
      <c r="CKQ186" s="7"/>
      <c r="CKR186" s="7"/>
      <c r="CKS186" s="7"/>
      <c r="CKT186" s="7"/>
      <c r="CKU186" s="7"/>
      <c r="CKV186" s="7"/>
      <c r="CKW186" s="7"/>
      <c r="CKX186" s="7"/>
      <c r="CKY186" s="7"/>
      <c r="CKZ186" s="7"/>
      <c r="CLA186" s="7"/>
      <c r="CLB186" s="7"/>
      <c r="CLC186" s="7"/>
      <c r="CLD186" s="7"/>
      <c r="CLE186" s="7"/>
      <c r="CLF186" s="7"/>
      <c r="CLG186" s="7"/>
      <c r="CLH186" s="7"/>
      <c r="CLI186" s="7"/>
      <c r="CLJ186" s="7"/>
      <c r="CLK186" s="7"/>
      <c r="CLL186" s="7"/>
      <c r="CLM186" s="7"/>
      <c r="CLN186" s="7"/>
      <c r="CLO186" s="7"/>
      <c r="CLP186" s="7"/>
      <c r="CLQ186" s="7"/>
      <c r="CLR186" s="7"/>
      <c r="CLS186" s="7"/>
      <c r="CLT186" s="7"/>
      <c r="CLU186" s="7"/>
      <c r="CLV186" s="7"/>
      <c r="CLW186" s="7"/>
      <c r="CLX186" s="7"/>
      <c r="CLY186" s="7"/>
      <c r="CLZ186" s="7"/>
      <c r="CMA186" s="7"/>
      <c r="CMB186" s="7"/>
      <c r="CMC186" s="7"/>
      <c r="CMD186" s="7"/>
      <c r="CME186" s="7"/>
      <c r="CMF186" s="7"/>
      <c r="CMG186" s="7"/>
      <c r="CMH186" s="7"/>
      <c r="CMI186" s="7"/>
      <c r="CMJ186" s="7"/>
      <c r="CMK186" s="7"/>
      <c r="CML186" s="7"/>
      <c r="CMM186" s="7"/>
      <c r="CMN186" s="7"/>
      <c r="CMO186" s="7"/>
      <c r="CMP186" s="7"/>
      <c r="CMQ186" s="7"/>
      <c r="CMR186" s="7"/>
      <c r="CMS186" s="7"/>
      <c r="CMT186" s="7"/>
      <c r="CMU186" s="7"/>
      <c r="CMV186" s="7"/>
      <c r="CMW186" s="7"/>
      <c r="CMX186" s="7"/>
      <c r="CMY186" s="7"/>
      <c r="CMZ186" s="7"/>
      <c r="CNA186" s="7"/>
      <c r="CNB186" s="7"/>
      <c r="CNC186" s="7"/>
      <c r="CND186" s="7"/>
      <c r="CNE186" s="7"/>
      <c r="CNF186" s="7"/>
      <c r="CNG186" s="7"/>
      <c r="CNH186" s="7"/>
      <c r="CNI186" s="7"/>
      <c r="CNJ186" s="7"/>
      <c r="CNK186" s="7"/>
      <c r="CNL186" s="7"/>
      <c r="CNM186" s="7"/>
      <c r="CNN186" s="7"/>
      <c r="CNO186" s="7"/>
      <c r="CNP186" s="7"/>
      <c r="CNQ186" s="7"/>
      <c r="CNR186" s="7"/>
      <c r="CNS186" s="7"/>
      <c r="CNT186" s="7"/>
      <c r="CNU186" s="7"/>
      <c r="CNV186" s="7"/>
      <c r="CNW186" s="7"/>
      <c r="CNX186" s="7"/>
      <c r="CNY186" s="7"/>
      <c r="CNZ186" s="7"/>
      <c r="COA186" s="7"/>
      <c r="COB186" s="7"/>
      <c r="COC186" s="7"/>
      <c r="COD186" s="7"/>
      <c r="COE186" s="7"/>
      <c r="COF186" s="7"/>
      <c r="COG186" s="7"/>
      <c r="COH186" s="7"/>
      <c r="COI186" s="7"/>
      <c r="COJ186" s="7"/>
      <c r="COK186" s="7"/>
      <c r="COL186" s="7"/>
      <c r="COM186" s="7"/>
      <c r="CON186" s="7"/>
      <c r="COO186" s="7"/>
      <c r="COP186" s="7"/>
      <c r="COQ186" s="7"/>
      <c r="COR186" s="7"/>
      <c r="COS186" s="7"/>
      <c r="COT186" s="7"/>
      <c r="COU186" s="7"/>
      <c r="COV186" s="7"/>
      <c r="COW186" s="7"/>
      <c r="COX186" s="7"/>
      <c r="COY186" s="7"/>
      <c r="COZ186" s="7"/>
      <c r="CPA186" s="7"/>
      <c r="CPB186" s="7"/>
      <c r="CPC186" s="7"/>
      <c r="CPD186" s="7"/>
      <c r="CPE186" s="7"/>
      <c r="CPF186" s="7"/>
      <c r="CPG186" s="7"/>
      <c r="CPH186" s="7"/>
      <c r="CPI186" s="7"/>
      <c r="CPJ186" s="7"/>
      <c r="CPK186" s="7"/>
      <c r="CPL186" s="7"/>
      <c r="CPM186" s="7"/>
      <c r="CPN186" s="7"/>
      <c r="CPO186" s="7"/>
      <c r="CPP186" s="7"/>
      <c r="CPQ186" s="7"/>
      <c r="CPR186" s="7"/>
      <c r="CPS186" s="7"/>
      <c r="CPT186" s="7"/>
      <c r="CPU186" s="7"/>
      <c r="CPV186" s="7"/>
      <c r="CPW186" s="7"/>
      <c r="CPX186" s="7"/>
      <c r="CPY186" s="7"/>
      <c r="CPZ186" s="7"/>
      <c r="CQA186" s="7"/>
      <c r="CQB186" s="7"/>
      <c r="CQC186" s="7"/>
      <c r="CQD186" s="7"/>
      <c r="CQE186" s="7"/>
      <c r="CQF186" s="7"/>
      <c r="CQG186" s="7"/>
      <c r="CQH186" s="7"/>
      <c r="CQI186" s="7"/>
      <c r="CQJ186" s="7"/>
      <c r="CQK186" s="7"/>
      <c r="CQL186" s="7"/>
      <c r="CQM186" s="7"/>
      <c r="CQN186" s="7"/>
      <c r="CQO186" s="7"/>
      <c r="CQP186" s="7"/>
      <c r="CQQ186" s="7"/>
      <c r="CQR186" s="7"/>
      <c r="CQS186" s="7"/>
      <c r="CQT186" s="7"/>
      <c r="CQU186" s="7"/>
      <c r="CQV186" s="7"/>
      <c r="CQW186" s="7"/>
      <c r="CQX186" s="7"/>
      <c r="CQY186" s="7"/>
      <c r="CQZ186" s="7"/>
      <c r="CRA186" s="7"/>
      <c r="CRB186" s="7"/>
      <c r="CRC186" s="7"/>
      <c r="CRD186" s="7"/>
      <c r="CRE186" s="7"/>
      <c r="CRF186" s="7"/>
      <c r="CRG186" s="7"/>
      <c r="CRH186" s="7"/>
      <c r="CRI186" s="7"/>
      <c r="CRJ186" s="7"/>
      <c r="CRK186" s="7"/>
      <c r="CRL186" s="7"/>
      <c r="CRM186" s="7"/>
      <c r="CRN186" s="7"/>
      <c r="CRO186" s="7"/>
      <c r="CRP186" s="7"/>
      <c r="CRQ186" s="7"/>
      <c r="CRR186" s="7"/>
      <c r="CRS186" s="7"/>
      <c r="CRT186" s="7"/>
      <c r="CRU186" s="7"/>
      <c r="CRV186" s="7"/>
      <c r="CRW186" s="7"/>
      <c r="CRX186" s="7"/>
      <c r="CRY186" s="7"/>
      <c r="CRZ186" s="7"/>
      <c r="CSA186" s="7"/>
      <c r="CSB186" s="7"/>
      <c r="CSC186" s="7"/>
      <c r="CSD186" s="7"/>
      <c r="CSE186" s="7"/>
      <c r="CSF186" s="7"/>
      <c r="CSG186" s="7"/>
      <c r="CSH186" s="7"/>
      <c r="CSI186" s="7"/>
      <c r="CSJ186" s="7"/>
      <c r="CSK186" s="7"/>
      <c r="CSL186" s="7"/>
      <c r="CSM186" s="7"/>
      <c r="CSN186" s="7"/>
      <c r="CSO186" s="7"/>
      <c r="CSP186" s="7"/>
      <c r="CSQ186" s="7"/>
      <c r="CSR186" s="7"/>
      <c r="CSS186" s="7"/>
      <c r="CST186" s="7"/>
      <c r="CSU186" s="7"/>
      <c r="CSV186" s="7"/>
      <c r="CSW186" s="7"/>
      <c r="CSX186" s="7"/>
      <c r="CSY186" s="7"/>
      <c r="CSZ186" s="7"/>
      <c r="CTA186" s="7"/>
      <c r="CTB186" s="7"/>
      <c r="CTC186" s="7"/>
      <c r="CTD186" s="7"/>
      <c r="CTE186" s="7"/>
      <c r="CTF186" s="7"/>
      <c r="CTG186" s="7"/>
      <c r="CTH186" s="7"/>
      <c r="CTI186" s="7"/>
      <c r="CTJ186" s="7"/>
      <c r="CTK186" s="7"/>
      <c r="CTL186" s="7"/>
      <c r="CTM186" s="7"/>
      <c r="CTN186" s="7"/>
      <c r="CTO186" s="7"/>
      <c r="CTP186" s="7"/>
      <c r="CTQ186" s="7"/>
      <c r="CTR186" s="7"/>
      <c r="CTS186" s="7"/>
      <c r="CTT186" s="7"/>
      <c r="CTU186" s="7"/>
      <c r="CTV186" s="7"/>
      <c r="CTW186" s="7"/>
      <c r="CTX186" s="7"/>
      <c r="CTY186" s="7"/>
      <c r="CTZ186" s="7"/>
      <c r="CUA186" s="7"/>
      <c r="CUB186" s="7"/>
      <c r="CUC186" s="7"/>
      <c r="CUD186" s="7"/>
      <c r="CUE186" s="7"/>
      <c r="CUF186" s="7"/>
      <c r="CUG186" s="7"/>
      <c r="CUH186" s="7"/>
      <c r="CUI186" s="7"/>
      <c r="CUJ186" s="7"/>
      <c r="CUK186" s="7"/>
      <c r="CUL186" s="7"/>
      <c r="CUM186" s="7"/>
      <c r="CUN186" s="7"/>
      <c r="CUO186" s="7"/>
      <c r="CUP186" s="7"/>
      <c r="CUQ186" s="7"/>
      <c r="CUR186" s="7"/>
      <c r="CUS186" s="7"/>
      <c r="CUT186" s="7"/>
      <c r="CUU186" s="7"/>
      <c r="CUV186" s="7"/>
      <c r="CUW186" s="7"/>
      <c r="CUX186" s="7"/>
      <c r="CUY186" s="7"/>
      <c r="CUZ186" s="7"/>
      <c r="CVA186" s="7"/>
      <c r="CVB186" s="7"/>
      <c r="CVC186" s="7"/>
      <c r="CVD186" s="7"/>
      <c r="CVE186" s="7"/>
      <c r="CVF186" s="7"/>
      <c r="CVG186" s="7"/>
      <c r="CVH186" s="7"/>
      <c r="CVI186" s="7"/>
      <c r="CVJ186" s="7"/>
      <c r="CVK186" s="7"/>
      <c r="CVL186" s="7"/>
      <c r="CVM186" s="7"/>
      <c r="CVN186" s="7"/>
      <c r="CVO186" s="7"/>
      <c r="CVP186" s="7"/>
      <c r="CVQ186" s="7"/>
      <c r="CVR186" s="7"/>
      <c r="CVS186" s="7"/>
      <c r="CVT186" s="7"/>
      <c r="CVU186" s="7"/>
      <c r="CVV186" s="7"/>
      <c r="CVW186" s="7"/>
      <c r="CVX186" s="7"/>
      <c r="CVY186" s="7"/>
      <c r="CVZ186" s="7"/>
      <c r="CWA186" s="7"/>
      <c r="CWB186" s="7"/>
      <c r="CWC186" s="7"/>
      <c r="CWD186" s="7"/>
      <c r="CWE186" s="7"/>
      <c r="CWF186" s="7"/>
      <c r="CWG186" s="7"/>
      <c r="CWH186" s="7"/>
      <c r="CWI186" s="7"/>
      <c r="CWJ186" s="7"/>
      <c r="CWK186" s="7"/>
      <c r="CWL186" s="7"/>
      <c r="CWM186" s="7"/>
      <c r="CWN186" s="7"/>
      <c r="CWO186" s="7"/>
      <c r="CWP186" s="7"/>
      <c r="CWQ186" s="7"/>
      <c r="CWR186" s="7"/>
      <c r="CWS186" s="7"/>
      <c r="CWT186" s="7"/>
      <c r="CWU186" s="7"/>
      <c r="CWV186" s="7"/>
      <c r="CWW186" s="7"/>
      <c r="CWX186" s="7"/>
      <c r="CWY186" s="7"/>
      <c r="CWZ186" s="7"/>
      <c r="CXA186" s="7"/>
      <c r="CXB186" s="7"/>
      <c r="CXC186" s="7"/>
      <c r="CXD186" s="7"/>
      <c r="CXE186" s="7"/>
      <c r="CXF186" s="7"/>
      <c r="CXG186" s="7"/>
      <c r="CXH186" s="7"/>
      <c r="CXI186" s="7"/>
      <c r="CXJ186" s="7"/>
      <c r="CXK186" s="7"/>
      <c r="CXL186" s="7"/>
      <c r="CXM186" s="7"/>
      <c r="CXN186" s="7"/>
      <c r="CXO186" s="7"/>
      <c r="CXP186" s="7"/>
      <c r="CXQ186" s="7"/>
      <c r="CXR186" s="7"/>
      <c r="CXS186" s="7"/>
      <c r="CXT186" s="7"/>
      <c r="CXU186" s="7"/>
      <c r="CXV186" s="7"/>
      <c r="CXW186" s="7"/>
      <c r="CXX186" s="7"/>
      <c r="CXY186" s="7"/>
      <c r="CXZ186" s="7"/>
      <c r="CYA186" s="7"/>
      <c r="CYB186" s="7"/>
      <c r="CYC186" s="7"/>
      <c r="CYD186" s="7"/>
      <c r="CYE186" s="7"/>
      <c r="CYF186" s="7"/>
      <c r="CYG186" s="7"/>
      <c r="CYH186" s="7"/>
      <c r="CYI186" s="7"/>
      <c r="CYJ186" s="7"/>
      <c r="CYK186" s="7"/>
      <c r="CYL186" s="7"/>
      <c r="CYM186" s="7"/>
      <c r="CYN186" s="7"/>
      <c r="CYO186" s="7"/>
      <c r="CYP186" s="7"/>
      <c r="CYQ186" s="7"/>
      <c r="CYR186" s="7"/>
      <c r="CYS186" s="7"/>
      <c r="CYT186" s="7"/>
      <c r="CYU186" s="7"/>
      <c r="CYV186" s="7"/>
      <c r="CYW186" s="7"/>
      <c r="CYX186" s="7"/>
      <c r="CYY186" s="7"/>
      <c r="CYZ186" s="7"/>
      <c r="CZA186" s="7"/>
      <c r="CZB186" s="7"/>
      <c r="CZC186" s="7"/>
      <c r="CZD186" s="7"/>
      <c r="CZE186" s="7"/>
      <c r="CZF186" s="7"/>
      <c r="CZG186" s="7"/>
      <c r="CZH186" s="7"/>
      <c r="CZI186" s="7"/>
      <c r="CZJ186" s="7"/>
      <c r="CZK186" s="7"/>
      <c r="CZL186" s="7"/>
      <c r="CZM186" s="7"/>
      <c r="CZN186" s="7"/>
      <c r="CZO186" s="7"/>
      <c r="CZP186" s="7"/>
      <c r="CZQ186" s="7"/>
      <c r="CZR186" s="7"/>
      <c r="CZS186" s="7"/>
      <c r="CZT186" s="7"/>
      <c r="CZU186" s="7"/>
      <c r="CZV186" s="7"/>
      <c r="CZW186" s="7"/>
      <c r="CZX186" s="7"/>
      <c r="CZY186" s="7"/>
      <c r="CZZ186" s="7"/>
      <c r="DAA186" s="7"/>
      <c r="DAB186" s="7"/>
      <c r="DAC186" s="7"/>
      <c r="DAD186" s="7"/>
      <c r="DAE186" s="7"/>
      <c r="DAF186" s="7"/>
      <c r="DAG186" s="7"/>
      <c r="DAH186" s="7"/>
      <c r="DAI186" s="7"/>
      <c r="DAJ186" s="7"/>
      <c r="DAK186" s="7"/>
      <c r="DAL186" s="7"/>
      <c r="DAM186" s="7"/>
      <c r="DAN186" s="7"/>
      <c r="DAO186" s="7"/>
      <c r="DAP186" s="7"/>
      <c r="DAQ186" s="7"/>
      <c r="DAR186" s="7"/>
      <c r="DAS186" s="7"/>
      <c r="DAT186" s="7"/>
      <c r="DAU186" s="7"/>
      <c r="DAV186" s="7"/>
      <c r="DAW186" s="7"/>
      <c r="DAX186" s="7"/>
      <c r="DAY186" s="7"/>
      <c r="DAZ186" s="7"/>
      <c r="DBA186" s="7"/>
      <c r="DBB186" s="7"/>
      <c r="DBC186" s="7"/>
      <c r="DBD186" s="7"/>
      <c r="DBE186" s="7"/>
      <c r="DBF186" s="7"/>
      <c r="DBG186" s="7"/>
      <c r="DBH186" s="7"/>
      <c r="DBI186" s="7"/>
      <c r="DBJ186" s="7"/>
      <c r="DBK186" s="7"/>
      <c r="DBL186" s="7"/>
      <c r="DBM186" s="7"/>
      <c r="DBN186" s="7"/>
      <c r="DBO186" s="7"/>
      <c r="DBP186" s="7"/>
      <c r="DBQ186" s="7"/>
      <c r="DBR186" s="7"/>
      <c r="DBS186" s="7"/>
      <c r="DBT186" s="7"/>
      <c r="DBU186" s="7"/>
      <c r="DBV186" s="7"/>
      <c r="DBW186" s="7"/>
      <c r="DBX186" s="7"/>
      <c r="DBY186" s="7"/>
      <c r="DBZ186" s="7"/>
      <c r="DCA186" s="7"/>
      <c r="DCB186" s="7"/>
      <c r="DCC186" s="7"/>
      <c r="DCD186" s="7"/>
      <c r="DCE186" s="7"/>
      <c r="DCF186" s="7"/>
      <c r="DCG186" s="7"/>
      <c r="DCH186" s="7"/>
      <c r="DCI186" s="7"/>
      <c r="DCJ186" s="7"/>
      <c r="DCK186" s="7"/>
      <c r="DCL186" s="7"/>
      <c r="DCM186" s="7"/>
      <c r="DCN186" s="7"/>
      <c r="DCO186" s="7"/>
      <c r="DCP186" s="7"/>
      <c r="DCQ186" s="7"/>
      <c r="DCR186" s="7"/>
      <c r="DCS186" s="7"/>
      <c r="DCT186" s="7"/>
      <c r="DCU186" s="7"/>
      <c r="DCV186" s="7"/>
      <c r="DCW186" s="7"/>
      <c r="DCX186" s="7"/>
      <c r="DCY186" s="7"/>
      <c r="DCZ186" s="7"/>
      <c r="DDA186" s="7"/>
      <c r="DDB186" s="7"/>
      <c r="DDC186" s="7"/>
      <c r="DDD186" s="7"/>
      <c r="DDE186" s="7"/>
      <c r="DDF186" s="7"/>
      <c r="DDG186" s="7"/>
      <c r="DDH186" s="7"/>
      <c r="DDI186" s="7"/>
      <c r="DDJ186" s="7"/>
      <c r="DDK186" s="7"/>
      <c r="DDL186" s="7"/>
      <c r="DDM186" s="7"/>
      <c r="DDN186" s="7"/>
      <c r="DDO186" s="7"/>
      <c r="DDP186" s="7"/>
      <c r="DDQ186" s="7"/>
      <c r="DDR186" s="7"/>
      <c r="DDS186" s="7"/>
      <c r="DDT186" s="7"/>
      <c r="DDU186" s="7"/>
      <c r="DDV186" s="7"/>
      <c r="DDW186" s="7"/>
      <c r="DDX186" s="7"/>
      <c r="DDY186" s="7"/>
      <c r="DDZ186" s="7"/>
      <c r="DEA186" s="7"/>
      <c r="DEB186" s="7"/>
      <c r="DEC186" s="7"/>
      <c r="DED186" s="7"/>
      <c r="DEE186" s="7"/>
      <c r="DEF186" s="7"/>
      <c r="DEG186" s="7"/>
      <c r="DEH186" s="7"/>
      <c r="DEI186" s="7"/>
      <c r="DEJ186" s="7"/>
      <c r="DEK186" s="7"/>
      <c r="DEL186" s="7"/>
      <c r="DEM186" s="7"/>
      <c r="DEN186" s="7"/>
      <c r="DEO186" s="7"/>
      <c r="DEP186" s="7"/>
      <c r="DEQ186" s="7"/>
      <c r="DER186" s="7"/>
      <c r="DES186" s="7"/>
      <c r="DET186" s="7"/>
      <c r="DEU186" s="7"/>
      <c r="DEV186" s="7"/>
      <c r="DEW186" s="7"/>
      <c r="DEX186" s="7"/>
      <c r="DEY186" s="7"/>
      <c r="DEZ186" s="7"/>
      <c r="DFA186" s="7"/>
      <c r="DFB186" s="7"/>
      <c r="DFC186" s="7"/>
      <c r="DFD186" s="7"/>
      <c r="DFE186" s="7"/>
      <c r="DFF186" s="7"/>
      <c r="DFG186" s="7"/>
      <c r="DFH186" s="7"/>
      <c r="DFI186" s="7"/>
      <c r="DFJ186" s="7"/>
      <c r="DFK186" s="7"/>
      <c r="DFL186" s="7"/>
      <c r="DFM186" s="7"/>
      <c r="DFN186" s="7"/>
      <c r="DFO186" s="7"/>
      <c r="DFP186" s="7"/>
      <c r="DFQ186" s="7"/>
      <c r="DFR186" s="7"/>
      <c r="DFS186" s="7"/>
      <c r="DFT186" s="7"/>
      <c r="DFU186" s="7"/>
      <c r="DFV186" s="7"/>
      <c r="DFW186" s="7"/>
      <c r="DFX186" s="7"/>
      <c r="DFY186" s="7"/>
      <c r="DFZ186" s="7"/>
      <c r="DGA186" s="7"/>
      <c r="DGB186" s="7"/>
      <c r="DGC186" s="7"/>
      <c r="DGD186" s="7"/>
      <c r="DGE186" s="7"/>
      <c r="DGF186" s="7"/>
      <c r="DGG186" s="7"/>
      <c r="DGH186" s="7"/>
      <c r="DGI186" s="7"/>
      <c r="DGJ186" s="7"/>
      <c r="DGK186" s="7"/>
      <c r="DGL186" s="7"/>
      <c r="DGM186" s="7"/>
      <c r="DGN186" s="7"/>
      <c r="DGO186" s="7"/>
      <c r="DGP186" s="7"/>
      <c r="DGQ186" s="7"/>
      <c r="DGR186" s="7"/>
      <c r="DGS186" s="7"/>
      <c r="DGT186" s="7"/>
      <c r="DGU186" s="7"/>
      <c r="DGV186" s="7"/>
      <c r="DGW186" s="7"/>
      <c r="DGX186" s="7"/>
      <c r="DGY186" s="7"/>
      <c r="DGZ186" s="7"/>
      <c r="DHA186" s="7"/>
      <c r="DHB186" s="7"/>
      <c r="DHC186" s="7"/>
      <c r="DHD186" s="7"/>
      <c r="DHE186" s="7"/>
      <c r="DHF186" s="7"/>
      <c r="DHG186" s="7"/>
      <c r="DHH186" s="7"/>
      <c r="DHI186" s="7"/>
      <c r="DHJ186" s="7"/>
      <c r="DHK186" s="7"/>
      <c r="DHL186" s="7"/>
      <c r="DHM186" s="7"/>
      <c r="DHN186" s="7"/>
      <c r="DHO186" s="7"/>
      <c r="DHP186" s="7"/>
      <c r="DHQ186" s="7"/>
      <c r="DHR186" s="7"/>
      <c r="DHS186" s="7"/>
      <c r="DHT186" s="7"/>
      <c r="DHU186" s="7"/>
      <c r="DHV186" s="7"/>
      <c r="DHW186" s="7"/>
      <c r="DHX186" s="7"/>
      <c r="DHY186" s="7"/>
      <c r="DHZ186" s="7"/>
      <c r="DIA186" s="7"/>
      <c r="DIB186" s="7"/>
      <c r="DIC186" s="7"/>
      <c r="DID186" s="7"/>
      <c r="DIE186" s="7"/>
      <c r="DIF186" s="7"/>
      <c r="DIG186" s="7"/>
      <c r="DIH186" s="7"/>
      <c r="DII186" s="7"/>
      <c r="DIJ186" s="7"/>
      <c r="DIK186" s="7"/>
      <c r="DIL186" s="7"/>
      <c r="DIM186" s="7"/>
      <c r="DIN186" s="7"/>
      <c r="DIO186" s="7"/>
      <c r="DIP186" s="7"/>
      <c r="DIQ186" s="7"/>
      <c r="DIR186" s="7"/>
      <c r="DIS186" s="7"/>
      <c r="DIT186" s="7"/>
      <c r="DIU186" s="7"/>
      <c r="DIV186" s="7"/>
      <c r="DIW186" s="7"/>
      <c r="DIX186" s="7"/>
      <c r="DIY186" s="7"/>
      <c r="DIZ186" s="7"/>
      <c r="DJA186" s="7"/>
      <c r="DJB186" s="7"/>
      <c r="DJC186" s="7"/>
      <c r="DJD186" s="7"/>
      <c r="DJE186" s="7"/>
      <c r="DJF186" s="7"/>
      <c r="DJG186" s="7"/>
      <c r="DJH186" s="7"/>
      <c r="DJI186" s="7"/>
      <c r="DJJ186" s="7"/>
      <c r="DJK186" s="7"/>
      <c r="DJL186" s="7"/>
      <c r="DJM186" s="7"/>
      <c r="DJN186" s="7"/>
      <c r="DJO186" s="7"/>
      <c r="DJP186" s="7"/>
      <c r="DJQ186" s="7"/>
      <c r="DJR186" s="7"/>
      <c r="DJS186" s="7"/>
      <c r="DJT186" s="7"/>
      <c r="DJU186" s="7"/>
      <c r="DJV186" s="7"/>
      <c r="DJW186" s="7"/>
      <c r="DJX186" s="7"/>
      <c r="DJY186" s="7"/>
      <c r="DJZ186" s="7"/>
      <c r="DKA186" s="7"/>
      <c r="DKB186" s="7"/>
      <c r="DKC186" s="7"/>
      <c r="DKD186" s="7"/>
      <c r="DKE186" s="7"/>
      <c r="DKF186" s="7"/>
      <c r="DKG186" s="7"/>
      <c r="DKH186" s="7"/>
      <c r="DKI186" s="7"/>
      <c r="DKJ186" s="7"/>
      <c r="DKK186" s="7"/>
      <c r="DKL186" s="7"/>
      <c r="DKM186" s="7"/>
      <c r="DKN186" s="7"/>
      <c r="DKO186" s="7"/>
      <c r="DKP186" s="7"/>
      <c r="DKQ186" s="7"/>
      <c r="DKR186" s="7"/>
      <c r="DKS186" s="7"/>
      <c r="DKT186" s="7"/>
      <c r="DKU186" s="7"/>
      <c r="DKV186" s="7"/>
      <c r="DKW186" s="7"/>
      <c r="DKX186" s="7"/>
      <c r="DKY186" s="7"/>
      <c r="DKZ186" s="7"/>
      <c r="DLA186" s="7"/>
      <c r="DLB186" s="7"/>
      <c r="DLC186" s="7"/>
      <c r="DLD186" s="7"/>
      <c r="DLE186" s="7"/>
      <c r="DLF186" s="7"/>
      <c r="DLG186" s="7"/>
      <c r="DLH186" s="7"/>
      <c r="DLI186" s="7"/>
      <c r="DLJ186" s="7"/>
      <c r="DLK186" s="7"/>
      <c r="DLL186" s="7"/>
      <c r="DLM186" s="7"/>
      <c r="DLN186" s="7"/>
      <c r="DLO186" s="7"/>
      <c r="DLP186" s="7"/>
      <c r="DLQ186" s="7"/>
      <c r="DLR186" s="7"/>
      <c r="DLS186" s="7"/>
      <c r="DLT186" s="7"/>
      <c r="DLU186" s="7"/>
      <c r="DLV186" s="7"/>
      <c r="DLW186" s="7"/>
      <c r="DLX186" s="7"/>
      <c r="DLY186" s="7"/>
      <c r="DLZ186" s="7"/>
      <c r="DMA186" s="7"/>
      <c r="DMB186" s="7"/>
      <c r="DMC186" s="7"/>
      <c r="DMD186" s="7"/>
      <c r="DME186" s="7"/>
      <c r="DMF186" s="7"/>
      <c r="DMG186" s="7"/>
      <c r="DMH186" s="7"/>
      <c r="DMI186" s="7"/>
      <c r="DMJ186" s="7"/>
      <c r="DMK186" s="7"/>
      <c r="DML186" s="7"/>
      <c r="DMM186" s="7"/>
      <c r="DMN186" s="7"/>
      <c r="DMO186" s="7"/>
      <c r="DMP186" s="7"/>
      <c r="DMQ186" s="7"/>
      <c r="DMR186" s="7"/>
      <c r="DMS186" s="7"/>
      <c r="DMT186" s="7"/>
      <c r="DMU186" s="7"/>
      <c r="DMV186" s="7"/>
      <c r="DMW186" s="7"/>
      <c r="DMX186" s="7"/>
      <c r="DMY186" s="7"/>
      <c r="DMZ186" s="7"/>
      <c r="DNA186" s="7"/>
      <c r="DNB186" s="7"/>
      <c r="DNC186" s="7"/>
      <c r="DND186" s="7"/>
      <c r="DNE186" s="7"/>
      <c r="DNF186" s="7"/>
      <c r="DNG186" s="7"/>
      <c r="DNH186" s="7"/>
      <c r="DNI186" s="7"/>
      <c r="DNJ186" s="7"/>
      <c r="DNK186" s="7"/>
      <c r="DNL186" s="7"/>
      <c r="DNM186" s="7"/>
      <c r="DNN186" s="7"/>
      <c r="DNO186" s="7"/>
      <c r="DNP186" s="7"/>
      <c r="DNQ186" s="7"/>
      <c r="DNR186" s="7"/>
      <c r="DNS186" s="7"/>
      <c r="DNT186" s="7"/>
      <c r="DNU186" s="7"/>
      <c r="DNV186" s="7"/>
      <c r="DNW186" s="7"/>
      <c r="DNX186" s="7"/>
      <c r="DNY186" s="7"/>
      <c r="DNZ186" s="7"/>
      <c r="DOA186" s="7"/>
      <c r="DOB186" s="7"/>
      <c r="DOC186" s="7"/>
      <c r="DOD186" s="7"/>
      <c r="DOE186" s="7"/>
      <c r="DOF186" s="7"/>
      <c r="DOG186" s="7"/>
      <c r="DOH186" s="7"/>
      <c r="DOI186" s="7"/>
      <c r="DOJ186" s="7"/>
      <c r="DOK186" s="7"/>
      <c r="DOL186" s="7"/>
      <c r="DOM186" s="7"/>
      <c r="DON186" s="7"/>
      <c r="DOO186" s="7"/>
      <c r="DOP186" s="7"/>
      <c r="DOQ186" s="7"/>
      <c r="DOR186" s="7"/>
      <c r="DOS186" s="7"/>
      <c r="DOT186" s="7"/>
      <c r="DOU186" s="7"/>
      <c r="DOV186" s="7"/>
      <c r="DOW186" s="7"/>
      <c r="DOX186" s="7"/>
      <c r="DOY186" s="7"/>
      <c r="DOZ186" s="7"/>
      <c r="DPA186" s="7"/>
      <c r="DPB186" s="7"/>
      <c r="DPC186" s="7"/>
      <c r="DPD186" s="7"/>
      <c r="DPE186" s="7"/>
      <c r="DPF186" s="7"/>
      <c r="DPG186" s="7"/>
      <c r="DPH186" s="7"/>
      <c r="DPI186" s="7"/>
      <c r="DPJ186" s="7"/>
      <c r="DPK186" s="7"/>
      <c r="DPL186" s="7"/>
      <c r="DPM186" s="7"/>
      <c r="DPN186" s="7"/>
      <c r="DPO186" s="7"/>
      <c r="DPP186" s="7"/>
      <c r="DPQ186" s="7"/>
      <c r="DPR186" s="7"/>
      <c r="DPS186" s="7"/>
      <c r="DPT186" s="7"/>
      <c r="DPU186" s="7"/>
      <c r="DPV186" s="7"/>
      <c r="DPW186" s="7"/>
      <c r="DPX186" s="7"/>
      <c r="DPY186" s="7"/>
      <c r="DPZ186" s="7"/>
      <c r="DQA186" s="7"/>
      <c r="DQB186" s="7"/>
      <c r="DQC186" s="7"/>
      <c r="DQD186" s="7"/>
      <c r="DQE186" s="7"/>
      <c r="DQF186" s="7"/>
      <c r="DQG186" s="7"/>
      <c r="DQH186" s="7"/>
      <c r="DQI186" s="7"/>
      <c r="DQJ186" s="7"/>
      <c r="DQK186" s="7"/>
      <c r="DQL186" s="7"/>
      <c r="DQM186" s="7"/>
      <c r="DQN186" s="7"/>
      <c r="DQO186" s="7"/>
      <c r="DQP186" s="7"/>
      <c r="DQQ186" s="7"/>
      <c r="DQR186" s="7"/>
      <c r="DQS186" s="7"/>
      <c r="DQT186" s="7"/>
      <c r="DQU186" s="7"/>
      <c r="DQV186" s="7"/>
      <c r="DQW186" s="7"/>
      <c r="DQX186" s="7"/>
      <c r="DQY186" s="7"/>
      <c r="DQZ186" s="7"/>
      <c r="DRA186" s="7"/>
      <c r="DRB186" s="7"/>
      <c r="DRC186" s="7"/>
      <c r="DRD186" s="7"/>
      <c r="DRE186" s="7"/>
      <c r="DRF186" s="7"/>
      <c r="DRG186" s="7"/>
      <c r="DRH186" s="7"/>
      <c r="DRI186" s="7"/>
      <c r="DRJ186" s="7"/>
      <c r="DRK186" s="7"/>
      <c r="DRL186" s="7"/>
      <c r="DRM186" s="7"/>
      <c r="DRN186" s="7"/>
      <c r="DRO186" s="7"/>
      <c r="DRP186" s="7"/>
      <c r="DRQ186" s="7"/>
      <c r="DRR186" s="7"/>
      <c r="DRS186" s="7"/>
      <c r="DRT186" s="7"/>
      <c r="DRU186" s="7"/>
      <c r="DRV186" s="7"/>
      <c r="DRW186" s="7"/>
      <c r="DRX186" s="7"/>
      <c r="DRY186" s="7"/>
      <c r="DRZ186" s="7"/>
      <c r="DSA186" s="7"/>
      <c r="DSB186" s="7"/>
      <c r="DSC186" s="7"/>
      <c r="DSD186" s="7"/>
      <c r="DSE186" s="7"/>
      <c r="DSF186" s="7"/>
      <c r="DSG186" s="7"/>
      <c r="DSH186" s="7"/>
      <c r="DSI186" s="7"/>
      <c r="DSJ186" s="7"/>
      <c r="DSK186" s="7"/>
      <c r="DSL186" s="7"/>
      <c r="DSM186" s="7"/>
      <c r="DSN186" s="7"/>
      <c r="DSO186" s="7"/>
      <c r="DSP186" s="7"/>
      <c r="DSQ186" s="7"/>
      <c r="DSR186" s="7"/>
      <c r="DSS186" s="7"/>
      <c r="DST186" s="7"/>
      <c r="DSU186" s="7"/>
      <c r="DSV186" s="7"/>
      <c r="DSW186" s="7"/>
      <c r="DSX186" s="7"/>
      <c r="DSY186" s="7"/>
      <c r="DSZ186" s="7"/>
      <c r="DTA186" s="7"/>
      <c r="DTB186" s="7"/>
      <c r="DTC186" s="7"/>
      <c r="DTD186" s="7"/>
      <c r="DTE186" s="7"/>
      <c r="DTF186" s="7"/>
      <c r="DTG186" s="7"/>
      <c r="DTH186" s="7"/>
      <c r="DTI186" s="7"/>
      <c r="DTJ186" s="7"/>
      <c r="DTK186" s="7"/>
      <c r="DTL186" s="7"/>
      <c r="DTM186" s="7"/>
      <c r="DTN186" s="7"/>
      <c r="DTO186" s="7"/>
      <c r="DTP186" s="7"/>
      <c r="DTQ186" s="7"/>
      <c r="DTR186" s="7"/>
      <c r="DTS186" s="7"/>
      <c r="DTT186" s="7"/>
      <c r="DTU186" s="7"/>
      <c r="DTV186" s="7"/>
      <c r="DTW186" s="7"/>
      <c r="DTX186" s="7"/>
      <c r="DTY186" s="7"/>
      <c r="DTZ186" s="7"/>
      <c r="DUA186" s="7"/>
      <c r="DUB186" s="7"/>
      <c r="DUC186" s="7"/>
      <c r="DUD186" s="7"/>
      <c r="DUE186" s="7"/>
      <c r="DUF186" s="7"/>
      <c r="DUG186" s="7"/>
      <c r="DUH186" s="7"/>
      <c r="DUI186" s="7"/>
      <c r="DUJ186" s="7"/>
      <c r="DUK186" s="7"/>
      <c r="DUL186" s="7"/>
      <c r="DUM186" s="7"/>
      <c r="DUN186" s="7"/>
      <c r="DUO186" s="7"/>
      <c r="DUP186" s="7"/>
      <c r="DUQ186" s="7"/>
      <c r="DUR186" s="7"/>
      <c r="DUS186" s="7"/>
      <c r="DUT186" s="7"/>
      <c r="DUU186" s="7"/>
      <c r="DUV186" s="7"/>
      <c r="DUW186" s="7"/>
      <c r="DUX186" s="7"/>
      <c r="DUY186" s="7"/>
      <c r="DUZ186" s="7"/>
      <c r="DVA186" s="7"/>
      <c r="DVB186" s="7"/>
      <c r="DVC186" s="7"/>
      <c r="DVD186" s="7"/>
      <c r="DVE186" s="7"/>
      <c r="DVF186" s="7"/>
      <c r="DVG186" s="7"/>
      <c r="DVH186" s="7"/>
      <c r="DVI186" s="7"/>
      <c r="DVJ186" s="7"/>
      <c r="DVK186" s="7"/>
      <c r="DVL186" s="7"/>
      <c r="DVM186" s="7"/>
      <c r="DVN186" s="7"/>
      <c r="DVO186" s="7"/>
      <c r="DVP186" s="7"/>
      <c r="DVQ186" s="7"/>
      <c r="DVR186" s="7"/>
      <c r="DVS186" s="7"/>
      <c r="DVT186" s="7"/>
      <c r="DVU186" s="7"/>
      <c r="DVV186" s="7"/>
      <c r="DVW186" s="7"/>
      <c r="DVX186" s="7"/>
      <c r="DVY186" s="7"/>
      <c r="DVZ186" s="7"/>
      <c r="DWA186" s="7"/>
      <c r="DWB186" s="7"/>
      <c r="DWC186" s="7"/>
      <c r="DWD186" s="7"/>
      <c r="DWE186" s="7"/>
      <c r="DWF186" s="7"/>
      <c r="DWG186" s="7"/>
      <c r="DWH186" s="7"/>
      <c r="DWI186" s="7"/>
      <c r="DWJ186" s="7"/>
      <c r="DWK186" s="7"/>
      <c r="DWL186" s="7"/>
      <c r="DWM186" s="7"/>
      <c r="DWN186" s="7"/>
      <c r="DWO186" s="7"/>
      <c r="DWP186" s="7"/>
      <c r="DWQ186" s="7"/>
      <c r="DWR186" s="7"/>
      <c r="DWS186" s="7"/>
      <c r="DWT186" s="7"/>
      <c r="DWU186" s="7"/>
      <c r="DWV186" s="7"/>
      <c r="DWW186" s="7"/>
      <c r="DWX186" s="7"/>
      <c r="DWY186" s="7"/>
      <c r="DWZ186" s="7"/>
      <c r="DXA186" s="7"/>
      <c r="DXB186" s="7"/>
      <c r="DXC186" s="7"/>
      <c r="DXD186" s="7"/>
      <c r="DXE186" s="7"/>
      <c r="DXF186" s="7"/>
      <c r="DXG186" s="7"/>
      <c r="DXH186" s="7"/>
      <c r="DXI186" s="7"/>
      <c r="DXJ186" s="7"/>
      <c r="DXK186" s="7"/>
      <c r="DXL186" s="7"/>
      <c r="DXM186" s="7"/>
      <c r="DXN186" s="7"/>
      <c r="DXO186" s="7"/>
      <c r="DXP186" s="7"/>
      <c r="DXQ186" s="7"/>
      <c r="DXR186" s="7"/>
      <c r="DXS186" s="7"/>
      <c r="DXT186" s="7"/>
      <c r="DXU186" s="7"/>
      <c r="DXV186" s="7"/>
      <c r="DXW186" s="7"/>
      <c r="DXX186" s="7"/>
      <c r="DXY186" s="7"/>
      <c r="DXZ186" s="7"/>
      <c r="DYA186" s="7"/>
      <c r="DYB186" s="7"/>
      <c r="DYC186" s="7"/>
      <c r="DYD186" s="7"/>
      <c r="DYE186" s="7"/>
      <c r="DYF186" s="7"/>
      <c r="DYG186" s="7"/>
      <c r="DYH186" s="7"/>
      <c r="DYI186" s="7"/>
      <c r="DYJ186" s="7"/>
      <c r="DYK186" s="7"/>
      <c r="DYL186" s="7"/>
      <c r="DYM186" s="7"/>
      <c r="DYN186" s="7"/>
      <c r="DYO186" s="7"/>
      <c r="DYP186" s="7"/>
      <c r="DYQ186" s="7"/>
      <c r="DYR186" s="7"/>
      <c r="DYS186" s="7"/>
      <c r="DYT186" s="7"/>
      <c r="DYU186" s="7"/>
      <c r="DYV186" s="7"/>
      <c r="DYW186" s="7"/>
      <c r="DYX186" s="7"/>
      <c r="DYY186" s="7"/>
      <c r="DYZ186" s="7"/>
      <c r="DZA186" s="7"/>
      <c r="DZB186" s="7"/>
      <c r="DZC186" s="7"/>
      <c r="DZD186" s="7"/>
      <c r="DZE186" s="7"/>
      <c r="DZF186" s="7"/>
      <c r="DZG186" s="7"/>
      <c r="DZH186" s="7"/>
      <c r="DZI186" s="7"/>
      <c r="DZJ186" s="7"/>
      <c r="DZK186" s="7"/>
      <c r="DZL186" s="7"/>
      <c r="DZM186" s="7"/>
      <c r="DZN186" s="7"/>
      <c r="DZO186" s="7"/>
      <c r="DZP186" s="7"/>
      <c r="DZQ186" s="7"/>
      <c r="DZR186" s="7"/>
      <c r="DZS186" s="7"/>
      <c r="DZT186" s="7"/>
      <c r="DZU186" s="7"/>
      <c r="DZV186" s="7"/>
      <c r="DZW186" s="7"/>
      <c r="DZX186" s="7"/>
      <c r="DZY186" s="7"/>
      <c r="DZZ186" s="7"/>
      <c r="EAA186" s="7"/>
      <c r="EAB186" s="7"/>
      <c r="EAC186" s="7"/>
      <c r="EAD186" s="7"/>
      <c r="EAE186" s="7"/>
      <c r="EAF186" s="7"/>
      <c r="EAG186" s="7"/>
      <c r="EAH186" s="7"/>
      <c r="EAI186" s="7"/>
      <c r="EAJ186" s="7"/>
      <c r="EAK186" s="7"/>
      <c r="EAL186" s="7"/>
      <c r="EAM186" s="7"/>
      <c r="EAN186" s="7"/>
      <c r="EAO186" s="7"/>
      <c r="EAP186" s="7"/>
      <c r="EAQ186" s="7"/>
      <c r="EAR186" s="7"/>
      <c r="EAS186" s="7"/>
      <c r="EAT186" s="7"/>
      <c r="EAU186" s="7"/>
      <c r="EAV186" s="7"/>
      <c r="EAW186" s="7"/>
      <c r="EAX186" s="7"/>
      <c r="EAY186" s="7"/>
      <c r="EAZ186" s="7"/>
      <c r="EBA186" s="7"/>
      <c r="EBB186" s="7"/>
      <c r="EBC186" s="7"/>
      <c r="EBD186" s="7"/>
      <c r="EBE186" s="7"/>
      <c r="EBF186" s="7"/>
      <c r="EBG186" s="7"/>
      <c r="EBH186" s="7"/>
      <c r="EBI186" s="7"/>
      <c r="EBJ186" s="7"/>
      <c r="EBK186" s="7"/>
      <c r="EBL186" s="7"/>
      <c r="EBM186" s="7"/>
      <c r="EBN186" s="7"/>
      <c r="EBO186" s="7"/>
      <c r="EBP186" s="7"/>
      <c r="EBQ186" s="7"/>
      <c r="EBR186" s="7"/>
      <c r="EBS186" s="7"/>
      <c r="EBT186" s="7"/>
      <c r="EBU186" s="7"/>
      <c r="EBV186" s="7"/>
      <c r="EBW186" s="7"/>
      <c r="EBX186" s="7"/>
      <c r="EBY186" s="7"/>
      <c r="EBZ186" s="7"/>
      <c r="ECA186" s="7"/>
      <c r="ECB186" s="7"/>
      <c r="ECC186" s="7"/>
      <c r="ECD186" s="7"/>
      <c r="ECE186" s="7"/>
      <c r="ECF186" s="7"/>
      <c r="ECG186" s="7"/>
      <c r="ECH186" s="7"/>
      <c r="ECI186" s="7"/>
      <c r="ECJ186" s="7"/>
      <c r="ECK186" s="7"/>
      <c r="ECL186" s="7"/>
      <c r="ECM186" s="7"/>
      <c r="ECN186" s="7"/>
      <c r="ECO186" s="7"/>
      <c r="ECP186" s="7"/>
      <c r="ECQ186" s="7"/>
      <c r="ECR186" s="7"/>
      <c r="ECS186" s="7"/>
      <c r="ECT186" s="7"/>
      <c r="ECU186" s="7"/>
      <c r="ECV186" s="7"/>
      <c r="ECW186" s="7"/>
      <c r="ECX186" s="7"/>
      <c r="ECY186" s="7"/>
      <c r="ECZ186" s="7"/>
      <c r="EDA186" s="7"/>
      <c r="EDB186" s="7"/>
      <c r="EDC186" s="7"/>
      <c r="EDD186" s="7"/>
      <c r="EDE186" s="7"/>
      <c r="EDF186" s="7"/>
      <c r="EDG186" s="7"/>
      <c r="EDH186" s="7"/>
      <c r="EDI186" s="7"/>
      <c r="EDJ186" s="7"/>
      <c r="EDK186" s="7"/>
      <c r="EDL186" s="7"/>
      <c r="EDM186" s="7"/>
      <c r="EDN186" s="7"/>
      <c r="EDO186" s="7"/>
      <c r="EDP186" s="7"/>
      <c r="EDQ186" s="7"/>
      <c r="EDR186" s="7"/>
      <c r="EDS186" s="7"/>
      <c r="EDT186" s="7"/>
      <c r="EDU186" s="7"/>
      <c r="EDV186" s="7"/>
      <c r="EDW186" s="7"/>
      <c r="EDX186" s="7"/>
      <c r="EDY186" s="7"/>
      <c r="EDZ186" s="7"/>
      <c r="EEA186" s="7"/>
      <c r="EEB186" s="7"/>
      <c r="EEC186" s="7"/>
      <c r="EED186" s="7"/>
      <c r="EEE186" s="7"/>
      <c r="EEF186" s="7"/>
      <c r="EEG186" s="7"/>
      <c r="EEH186" s="7"/>
      <c r="EEI186" s="7"/>
      <c r="EEJ186" s="7"/>
      <c r="EEK186" s="7"/>
      <c r="EEL186" s="7"/>
      <c r="EEM186" s="7"/>
      <c r="EEN186" s="7"/>
      <c r="EEO186" s="7"/>
      <c r="EEP186" s="7"/>
      <c r="EEQ186" s="7"/>
      <c r="EER186" s="7"/>
      <c r="EES186" s="7"/>
      <c r="EET186" s="7"/>
      <c r="EEU186" s="7"/>
      <c r="EEV186" s="7"/>
      <c r="EEW186" s="7"/>
      <c r="EEX186" s="7"/>
      <c r="EEY186" s="7"/>
      <c r="EEZ186" s="7"/>
      <c r="EFA186" s="7"/>
      <c r="EFB186" s="7"/>
      <c r="EFC186" s="7"/>
      <c r="EFD186" s="7"/>
      <c r="EFE186" s="7"/>
      <c r="EFF186" s="7"/>
      <c r="EFG186" s="7"/>
      <c r="EFH186" s="7"/>
      <c r="EFI186" s="7"/>
      <c r="EFJ186" s="7"/>
      <c r="EFK186" s="7"/>
      <c r="EFL186" s="7"/>
      <c r="EFM186" s="7"/>
      <c r="EFN186" s="7"/>
      <c r="EFO186" s="7"/>
      <c r="EFP186" s="7"/>
      <c r="EFQ186" s="7"/>
      <c r="EFR186" s="7"/>
      <c r="EFS186" s="7"/>
      <c r="EFT186" s="7"/>
      <c r="EFU186" s="7"/>
      <c r="EFV186" s="7"/>
      <c r="EFW186" s="7"/>
      <c r="EFX186" s="7"/>
      <c r="EFY186" s="7"/>
      <c r="EFZ186" s="7"/>
      <c r="EGA186" s="7"/>
      <c r="EGB186" s="7"/>
      <c r="EGC186" s="7"/>
      <c r="EGD186" s="7"/>
      <c r="EGE186" s="7"/>
      <c r="EGF186" s="7"/>
      <c r="EGG186" s="7"/>
      <c r="EGH186" s="7"/>
      <c r="EGI186" s="7"/>
      <c r="EGJ186" s="7"/>
      <c r="EGK186" s="7"/>
      <c r="EGL186" s="7"/>
      <c r="EGM186" s="7"/>
      <c r="EGN186" s="7"/>
      <c r="EGO186" s="7"/>
      <c r="EGP186" s="7"/>
      <c r="EGQ186" s="7"/>
      <c r="EGR186" s="7"/>
      <c r="EGS186" s="7"/>
      <c r="EGT186" s="7"/>
      <c r="EGU186" s="7"/>
      <c r="EGV186" s="7"/>
      <c r="EGW186" s="7"/>
      <c r="EGX186" s="7"/>
      <c r="EGY186" s="7"/>
      <c r="EGZ186" s="7"/>
      <c r="EHA186" s="7"/>
      <c r="EHB186" s="7"/>
      <c r="EHC186" s="7"/>
      <c r="EHD186" s="7"/>
      <c r="EHE186" s="7"/>
      <c r="EHF186" s="7"/>
      <c r="EHG186" s="7"/>
      <c r="EHH186" s="7"/>
      <c r="EHI186" s="7"/>
      <c r="EHJ186" s="7"/>
      <c r="EHK186" s="7"/>
      <c r="EHL186" s="7"/>
      <c r="EHM186" s="7"/>
      <c r="EHN186" s="7"/>
      <c r="EHO186" s="7"/>
      <c r="EHP186" s="7"/>
      <c r="EHQ186" s="7"/>
      <c r="EHR186" s="7"/>
      <c r="EHS186" s="7"/>
      <c r="EHT186" s="7"/>
      <c r="EHU186" s="7"/>
      <c r="EHV186" s="7"/>
      <c r="EHW186" s="7"/>
      <c r="EHX186" s="7"/>
      <c r="EHY186" s="7"/>
      <c r="EHZ186" s="7"/>
      <c r="EIA186" s="7"/>
      <c r="EIB186" s="7"/>
      <c r="EIC186" s="7"/>
      <c r="EID186" s="7"/>
      <c r="EIE186" s="7"/>
      <c r="EIF186" s="7"/>
      <c r="EIG186" s="7"/>
      <c r="EIH186" s="7"/>
      <c r="EII186" s="7"/>
      <c r="EIJ186" s="7"/>
      <c r="EIK186" s="7"/>
      <c r="EIL186" s="7"/>
      <c r="EIM186" s="7"/>
      <c r="EIN186" s="7"/>
      <c r="EIO186" s="7"/>
      <c r="EIP186" s="7"/>
      <c r="EIQ186" s="7"/>
      <c r="EIR186" s="7"/>
      <c r="EIS186" s="7"/>
      <c r="EIT186" s="7"/>
      <c r="EIU186" s="7"/>
      <c r="EIV186" s="7"/>
      <c r="EIW186" s="7"/>
      <c r="EIX186" s="7"/>
      <c r="EIY186" s="7"/>
      <c r="EIZ186" s="7"/>
      <c r="EJA186" s="7"/>
      <c r="EJB186" s="7"/>
      <c r="EJC186" s="7"/>
      <c r="EJD186" s="7"/>
      <c r="EJE186" s="7"/>
      <c r="EJF186" s="7"/>
      <c r="EJG186" s="7"/>
      <c r="EJH186" s="7"/>
      <c r="EJI186" s="7"/>
      <c r="EJJ186" s="7"/>
      <c r="EJK186" s="7"/>
      <c r="EJL186" s="7"/>
      <c r="EJM186" s="7"/>
      <c r="EJN186" s="7"/>
      <c r="EJO186" s="7"/>
      <c r="EJP186" s="7"/>
      <c r="EJQ186" s="7"/>
      <c r="EJR186" s="7"/>
      <c r="EJS186" s="7"/>
      <c r="EJT186" s="7"/>
      <c r="EJU186" s="7"/>
      <c r="EJV186" s="7"/>
      <c r="EJW186" s="7"/>
      <c r="EJX186" s="7"/>
      <c r="EJY186" s="7"/>
      <c r="EJZ186" s="7"/>
      <c r="EKA186" s="7"/>
      <c r="EKB186" s="7"/>
      <c r="EKC186" s="7"/>
      <c r="EKD186" s="7"/>
      <c r="EKE186" s="7"/>
      <c r="EKF186" s="7"/>
      <c r="EKG186" s="7"/>
      <c r="EKH186" s="7"/>
      <c r="EKI186" s="7"/>
      <c r="EKJ186" s="7"/>
      <c r="EKK186" s="7"/>
      <c r="EKL186" s="7"/>
      <c r="EKM186" s="7"/>
      <c r="EKN186" s="7"/>
      <c r="EKO186" s="7"/>
      <c r="EKP186" s="7"/>
      <c r="EKQ186" s="7"/>
      <c r="EKR186" s="7"/>
      <c r="EKS186" s="7"/>
      <c r="EKT186" s="7"/>
      <c r="EKU186" s="7"/>
      <c r="EKV186" s="7"/>
      <c r="EKW186" s="7"/>
      <c r="EKX186" s="7"/>
      <c r="EKY186" s="7"/>
      <c r="EKZ186" s="7"/>
      <c r="ELA186" s="7"/>
      <c r="ELB186" s="7"/>
      <c r="ELC186" s="7"/>
      <c r="ELD186" s="7"/>
      <c r="ELE186" s="7"/>
      <c r="ELF186" s="7"/>
      <c r="ELG186" s="7"/>
      <c r="ELH186" s="7"/>
      <c r="ELI186" s="7"/>
      <c r="ELJ186" s="7"/>
      <c r="ELK186" s="7"/>
      <c r="ELL186" s="7"/>
      <c r="ELM186" s="7"/>
      <c r="ELN186" s="7"/>
      <c r="ELO186" s="7"/>
      <c r="ELP186" s="7"/>
      <c r="ELQ186" s="7"/>
      <c r="ELR186" s="7"/>
      <c r="ELS186" s="7"/>
      <c r="ELT186" s="7"/>
      <c r="ELU186" s="7"/>
      <c r="ELV186" s="7"/>
      <c r="ELW186" s="7"/>
      <c r="ELX186" s="7"/>
      <c r="ELY186" s="7"/>
      <c r="ELZ186" s="7"/>
      <c r="EMA186" s="7"/>
      <c r="EMB186" s="7"/>
      <c r="EMC186" s="7"/>
      <c r="EMD186" s="7"/>
      <c r="EME186" s="7"/>
      <c r="EMF186" s="7"/>
      <c r="EMG186" s="7"/>
      <c r="EMH186" s="7"/>
      <c r="EMI186" s="7"/>
      <c r="EMJ186" s="7"/>
      <c r="EMK186" s="7"/>
      <c r="EML186" s="7"/>
      <c r="EMM186" s="7"/>
      <c r="EMN186" s="7"/>
      <c r="EMO186" s="7"/>
      <c r="EMP186" s="7"/>
      <c r="EMQ186" s="7"/>
      <c r="EMR186" s="7"/>
      <c r="EMS186" s="7"/>
      <c r="EMT186" s="7"/>
      <c r="EMU186" s="7"/>
      <c r="EMV186" s="7"/>
      <c r="EMW186" s="7"/>
      <c r="EMX186" s="7"/>
      <c r="EMY186" s="7"/>
      <c r="EMZ186" s="7"/>
      <c r="ENA186" s="7"/>
      <c r="ENB186" s="7"/>
      <c r="ENC186" s="7"/>
      <c r="END186" s="7"/>
      <c r="ENE186" s="7"/>
      <c r="ENF186" s="7"/>
      <c r="ENG186" s="7"/>
      <c r="ENH186" s="7"/>
      <c r="ENI186" s="7"/>
      <c r="ENJ186" s="7"/>
      <c r="ENK186" s="7"/>
      <c r="ENL186" s="7"/>
      <c r="ENM186" s="7"/>
      <c r="ENN186" s="7"/>
      <c r="ENO186" s="7"/>
      <c r="ENP186" s="7"/>
      <c r="ENQ186" s="7"/>
      <c r="ENR186" s="7"/>
      <c r="ENS186" s="7"/>
      <c r="ENT186" s="7"/>
      <c r="ENU186" s="7"/>
      <c r="ENV186" s="7"/>
      <c r="ENW186" s="7"/>
      <c r="ENX186" s="7"/>
      <c r="ENY186" s="7"/>
      <c r="ENZ186" s="7"/>
      <c r="EOA186" s="7"/>
      <c r="EOB186" s="7"/>
      <c r="EOC186" s="7"/>
      <c r="EOD186" s="7"/>
      <c r="EOE186" s="7"/>
      <c r="EOF186" s="7"/>
      <c r="EOG186" s="7"/>
      <c r="EOH186" s="7"/>
      <c r="EOI186" s="7"/>
      <c r="EOJ186" s="7"/>
      <c r="EOK186" s="7"/>
      <c r="EOL186" s="7"/>
      <c r="EOM186" s="7"/>
      <c r="EON186" s="7"/>
      <c r="EOO186" s="7"/>
      <c r="EOP186" s="7"/>
      <c r="EOQ186" s="7"/>
      <c r="EOR186" s="7"/>
      <c r="EOS186" s="7"/>
      <c r="EOT186" s="7"/>
      <c r="EOU186" s="7"/>
      <c r="EOV186" s="7"/>
      <c r="EOW186" s="7"/>
      <c r="EOX186" s="7"/>
      <c r="EOY186" s="7"/>
      <c r="EOZ186" s="7"/>
      <c r="EPA186" s="7"/>
      <c r="EPB186" s="7"/>
      <c r="EPC186" s="7"/>
      <c r="EPD186" s="7"/>
      <c r="EPE186" s="7"/>
      <c r="EPF186" s="7"/>
      <c r="EPG186" s="7"/>
      <c r="EPH186" s="7"/>
      <c r="EPI186" s="7"/>
      <c r="EPJ186" s="7"/>
      <c r="EPK186" s="7"/>
      <c r="EPL186" s="7"/>
      <c r="EPM186" s="7"/>
      <c r="EPN186" s="7"/>
      <c r="EPO186" s="7"/>
      <c r="EPP186" s="7"/>
      <c r="EPQ186" s="7"/>
      <c r="EPR186" s="7"/>
      <c r="EPS186" s="7"/>
      <c r="EPT186" s="7"/>
      <c r="EPU186" s="7"/>
      <c r="EPV186" s="7"/>
      <c r="EPW186" s="7"/>
      <c r="EPX186" s="7"/>
      <c r="EPY186" s="7"/>
      <c r="EPZ186" s="7"/>
      <c r="EQA186" s="7"/>
      <c r="EQB186" s="7"/>
      <c r="EQC186" s="7"/>
      <c r="EQD186" s="7"/>
      <c r="EQE186" s="7"/>
      <c r="EQF186" s="7"/>
      <c r="EQG186" s="7"/>
      <c r="EQH186" s="7"/>
      <c r="EQI186" s="7"/>
      <c r="EQJ186" s="7"/>
      <c r="EQK186" s="7"/>
      <c r="EQL186" s="7"/>
      <c r="EQM186" s="7"/>
      <c r="EQN186" s="7"/>
      <c r="EQO186" s="7"/>
      <c r="EQP186" s="7"/>
      <c r="EQQ186" s="7"/>
      <c r="EQR186" s="7"/>
      <c r="EQS186" s="7"/>
      <c r="EQT186" s="7"/>
      <c r="EQU186" s="7"/>
      <c r="EQV186" s="7"/>
      <c r="EQW186" s="7"/>
      <c r="EQX186" s="7"/>
      <c r="EQY186" s="7"/>
      <c r="EQZ186" s="7"/>
      <c r="ERA186" s="7"/>
      <c r="ERB186" s="7"/>
      <c r="ERC186" s="7"/>
      <c r="ERD186" s="7"/>
      <c r="ERE186" s="7"/>
      <c r="ERF186" s="7"/>
      <c r="ERG186" s="7"/>
      <c r="ERH186" s="7"/>
      <c r="ERI186" s="7"/>
      <c r="ERJ186" s="7"/>
      <c r="ERK186" s="7"/>
      <c r="ERL186" s="7"/>
      <c r="ERM186" s="7"/>
      <c r="ERN186" s="7"/>
      <c r="ERO186" s="7"/>
      <c r="ERP186" s="7"/>
      <c r="ERQ186" s="7"/>
      <c r="ERR186" s="7"/>
      <c r="ERS186" s="7"/>
      <c r="ERT186" s="7"/>
      <c r="ERU186" s="7"/>
      <c r="ERV186" s="7"/>
      <c r="ERW186" s="7"/>
      <c r="ERX186" s="7"/>
      <c r="ERY186" s="7"/>
      <c r="ERZ186" s="7"/>
      <c r="ESA186" s="7"/>
      <c r="ESB186" s="7"/>
      <c r="ESC186" s="7"/>
      <c r="ESD186" s="7"/>
      <c r="ESE186" s="7"/>
      <c r="ESF186" s="7"/>
      <c r="ESG186" s="7"/>
      <c r="ESH186" s="7"/>
      <c r="ESI186" s="7"/>
      <c r="ESJ186" s="7"/>
      <c r="ESK186" s="7"/>
      <c r="ESL186" s="7"/>
      <c r="ESM186" s="7"/>
      <c r="ESN186" s="7"/>
      <c r="ESO186" s="7"/>
      <c r="ESP186" s="7"/>
      <c r="ESQ186" s="7"/>
      <c r="ESR186" s="7"/>
      <c r="ESS186" s="7"/>
      <c r="EST186" s="7"/>
      <c r="ESU186" s="7"/>
      <c r="ESV186" s="7"/>
      <c r="ESW186" s="7"/>
      <c r="ESX186" s="7"/>
      <c r="ESY186" s="7"/>
      <c r="ESZ186" s="7"/>
      <c r="ETA186" s="7"/>
      <c r="ETB186" s="7"/>
      <c r="ETC186" s="7"/>
      <c r="ETD186" s="7"/>
      <c r="ETE186" s="7"/>
      <c r="ETF186" s="7"/>
      <c r="ETG186" s="7"/>
      <c r="ETH186" s="7"/>
      <c r="ETI186" s="7"/>
      <c r="ETJ186" s="7"/>
      <c r="ETK186" s="7"/>
      <c r="ETL186" s="7"/>
      <c r="ETM186" s="7"/>
      <c r="ETN186" s="7"/>
      <c r="ETO186" s="7"/>
      <c r="ETP186" s="7"/>
      <c r="ETQ186" s="7"/>
      <c r="ETR186" s="7"/>
      <c r="ETS186" s="7"/>
      <c r="ETT186" s="7"/>
      <c r="ETU186" s="7"/>
      <c r="ETV186" s="7"/>
      <c r="ETW186" s="7"/>
      <c r="ETX186" s="7"/>
      <c r="ETY186" s="7"/>
      <c r="ETZ186" s="7"/>
      <c r="EUA186" s="7"/>
      <c r="EUB186" s="7"/>
      <c r="EUC186" s="7"/>
      <c r="EUD186" s="7"/>
      <c r="EUE186" s="7"/>
      <c r="EUF186" s="7"/>
      <c r="EUG186" s="7"/>
      <c r="EUH186" s="7"/>
      <c r="EUI186" s="7"/>
      <c r="EUJ186" s="7"/>
      <c r="EUK186" s="7"/>
      <c r="EUL186" s="7"/>
      <c r="EUM186" s="7"/>
      <c r="EUN186" s="7"/>
      <c r="EUO186" s="7"/>
      <c r="EUP186" s="7"/>
      <c r="EUQ186" s="7"/>
      <c r="EUR186" s="7"/>
      <c r="EUS186" s="7"/>
      <c r="EUT186" s="7"/>
      <c r="EUU186" s="7"/>
      <c r="EUV186" s="7"/>
      <c r="EUW186" s="7"/>
      <c r="EUX186" s="7"/>
      <c r="EUY186" s="7"/>
      <c r="EUZ186" s="7"/>
      <c r="EVA186" s="7"/>
      <c r="EVB186" s="7"/>
      <c r="EVC186" s="7"/>
      <c r="EVD186" s="7"/>
      <c r="EVE186" s="7"/>
      <c r="EVF186" s="7"/>
      <c r="EVG186" s="7"/>
      <c r="EVH186" s="7"/>
      <c r="EVI186" s="7"/>
      <c r="EVJ186" s="7"/>
      <c r="EVK186" s="7"/>
      <c r="EVL186" s="7"/>
      <c r="EVM186" s="7"/>
      <c r="EVN186" s="7"/>
      <c r="EVO186" s="7"/>
      <c r="EVP186" s="7"/>
      <c r="EVQ186" s="7"/>
      <c r="EVR186" s="7"/>
      <c r="EVS186" s="7"/>
      <c r="EVT186" s="7"/>
      <c r="EVU186" s="7"/>
      <c r="EVV186" s="7"/>
      <c r="EVW186" s="7"/>
      <c r="EVX186" s="7"/>
      <c r="EVY186" s="7"/>
      <c r="EVZ186" s="7"/>
      <c r="EWA186" s="7"/>
      <c r="EWB186" s="7"/>
      <c r="EWC186" s="7"/>
      <c r="EWD186" s="7"/>
      <c r="EWE186" s="7"/>
      <c r="EWF186" s="7"/>
      <c r="EWG186" s="7"/>
      <c r="EWH186" s="7"/>
      <c r="EWI186" s="7"/>
      <c r="EWJ186" s="7"/>
      <c r="EWK186" s="7"/>
      <c r="EWL186" s="7"/>
      <c r="EWM186" s="7"/>
      <c r="EWN186" s="7"/>
      <c r="EWO186" s="7"/>
      <c r="EWP186" s="7"/>
      <c r="EWQ186" s="7"/>
      <c r="EWR186" s="7"/>
      <c r="EWS186" s="7"/>
      <c r="EWT186" s="7"/>
      <c r="EWU186" s="7"/>
      <c r="EWV186" s="7"/>
      <c r="EWW186" s="7"/>
      <c r="EWX186" s="7"/>
      <c r="EWY186" s="7"/>
      <c r="EWZ186" s="7"/>
      <c r="EXA186" s="7"/>
      <c r="EXB186" s="7"/>
      <c r="EXC186" s="7"/>
      <c r="EXD186" s="7"/>
      <c r="EXE186" s="7"/>
      <c r="EXF186" s="7"/>
      <c r="EXG186" s="7"/>
      <c r="EXH186" s="7"/>
      <c r="EXI186" s="7"/>
      <c r="EXJ186" s="7"/>
      <c r="EXK186" s="7"/>
      <c r="EXL186" s="7"/>
      <c r="EXM186" s="7"/>
      <c r="EXN186" s="7"/>
      <c r="EXO186" s="7"/>
      <c r="EXP186" s="7"/>
      <c r="EXQ186" s="7"/>
      <c r="EXR186" s="7"/>
      <c r="EXS186" s="7"/>
      <c r="EXT186" s="7"/>
      <c r="EXU186" s="7"/>
      <c r="EXV186" s="7"/>
      <c r="EXW186" s="7"/>
      <c r="EXX186" s="7"/>
      <c r="EXY186" s="7"/>
      <c r="EXZ186" s="7"/>
      <c r="EYA186" s="7"/>
      <c r="EYB186" s="7"/>
      <c r="EYC186" s="7"/>
      <c r="EYD186" s="7"/>
      <c r="EYE186" s="7"/>
      <c r="EYF186" s="7"/>
      <c r="EYG186" s="7"/>
      <c r="EYH186" s="7"/>
      <c r="EYI186" s="7"/>
      <c r="EYJ186" s="7"/>
      <c r="EYK186" s="7"/>
      <c r="EYL186" s="7"/>
      <c r="EYM186" s="7"/>
      <c r="EYN186" s="7"/>
      <c r="EYO186" s="7"/>
      <c r="EYP186" s="7"/>
      <c r="EYQ186" s="7"/>
      <c r="EYR186" s="7"/>
      <c r="EYS186" s="7"/>
      <c r="EYT186" s="7"/>
      <c r="EYU186" s="7"/>
      <c r="EYV186" s="7"/>
      <c r="EYW186" s="7"/>
      <c r="EYX186" s="7"/>
      <c r="EYY186" s="7"/>
      <c r="EYZ186" s="7"/>
      <c r="EZA186" s="7"/>
      <c r="EZB186" s="7"/>
      <c r="EZC186" s="7"/>
      <c r="EZD186" s="7"/>
      <c r="EZE186" s="7"/>
      <c r="EZF186" s="7"/>
      <c r="EZG186" s="7"/>
      <c r="EZH186" s="7"/>
      <c r="EZI186" s="7"/>
      <c r="EZJ186" s="7"/>
      <c r="EZK186" s="7"/>
      <c r="EZL186" s="7"/>
      <c r="EZM186" s="7"/>
      <c r="EZN186" s="7"/>
      <c r="EZO186" s="7"/>
      <c r="EZP186" s="7"/>
      <c r="EZQ186" s="7"/>
      <c r="EZR186" s="7"/>
      <c r="EZS186" s="7"/>
      <c r="EZT186" s="7"/>
      <c r="EZU186" s="7"/>
      <c r="EZV186" s="7"/>
      <c r="EZW186" s="7"/>
      <c r="EZX186" s="7"/>
      <c r="EZY186" s="7"/>
      <c r="EZZ186" s="7"/>
      <c r="FAA186" s="7"/>
      <c r="FAB186" s="7"/>
      <c r="FAC186" s="7"/>
      <c r="FAD186" s="7"/>
      <c r="FAE186" s="7"/>
      <c r="FAF186" s="7"/>
      <c r="FAG186" s="7"/>
      <c r="FAH186" s="7"/>
      <c r="FAI186" s="7"/>
      <c r="FAJ186" s="7"/>
      <c r="FAK186" s="7"/>
      <c r="FAL186" s="7"/>
      <c r="FAM186" s="7"/>
      <c r="FAN186" s="7"/>
      <c r="FAO186" s="7"/>
      <c r="FAP186" s="7"/>
      <c r="FAQ186" s="7"/>
      <c r="FAR186" s="7"/>
      <c r="FAS186" s="7"/>
      <c r="FAT186" s="7"/>
      <c r="FAU186" s="7"/>
      <c r="FAV186" s="7"/>
      <c r="FAW186" s="7"/>
      <c r="FAX186" s="7"/>
      <c r="FAY186" s="7"/>
      <c r="FAZ186" s="7"/>
      <c r="FBA186" s="7"/>
      <c r="FBB186" s="7"/>
      <c r="FBC186" s="7"/>
      <c r="FBD186" s="7"/>
      <c r="FBE186" s="7"/>
      <c r="FBF186" s="7"/>
      <c r="FBG186" s="7"/>
      <c r="FBH186" s="7"/>
      <c r="FBI186" s="7"/>
      <c r="FBJ186" s="7"/>
      <c r="FBK186" s="7"/>
      <c r="FBL186" s="7"/>
      <c r="FBM186" s="7"/>
      <c r="FBN186" s="7"/>
      <c r="FBO186" s="7"/>
      <c r="FBP186" s="7"/>
      <c r="FBQ186" s="7"/>
      <c r="FBR186" s="7"/>
      <c r="FBS186" s="7"/>
      <c r="FBT186" s="7"/>
      <c r="FBU186" s="7"/>
      <c r="FBV186" s="7"/>
      <c r="FBW186" s="7"/>
      <c r="FBX186" s="7"/>
      <c r="FBY186" s="7"/>
      <c r="FBZ186" s="7"/>
      <c r="FCA186" s="7"/>
      <c r="FCB186" s="7"/>
      <c r="FCC186" s="7"/>
      <c r="FCD186" s="7"/>
      <c r="FCE186" s="7"/>
      <c r="FCF186" s="7"/>
      <c r="FCG186" s="7"/>
      <c r="FCH186" s="7"/>
      <c r="FCI186" s="7"/>
      <c r="FCJ186" s="7"/>
      <c r="FCK186" s="7"/>
      <c r="FCL186" s="7"/>
      <c r="FCM186" s="7"/>
      <c r="FCN186" s="7"/>
      <c r="FCO186" s="7"/>
      <c r="FCP186" s="7"/>
      <c r="FCQ186" s="7"/>
      <c r="FCR186" s="7"/>
      <c r="FCS186" s="7"/>
      <c r="FCT186" s="7"/>
      <c r="FCU186" s="7"/>
      <c r="FCV186" s="7"/>
      <c r="FCW186" s="7"/>
      <c r="FCX186" s="7"/>
      <c r="FCY186" s="7"/>
      <c r="FCZ186" s="7"/>
      <c r="FDA186" s="7"/>
      <c r="FDB186" s="7"/>
      <c r="FDC186" s="7"/>
      <c r="FDD186" s="7"/>
      <c r="FDE186" s="7"/>
      <c r="FDF186" s="7"/>
      <c r="FDG186" s="7"/>
      <c r="FDH186" s="7"/>
      <c r="FDI186" s="7"/>
      <c r="FDJ186" s="7"/>
      <c r="FDK186" s="7"/>
      <c r="FDL186" s="7"/>
      <c r="FDM186" s="7"/>
      <c r="FDN186" s="7"/>
      <c r="FDO186" s="7"/>
      <c r="FDP186" s="7"/>
      <c r="FDQ186" s="7"/>
      <c r="FDR186" s="7"/>
      <c r="FDS186" s="7"/>
      <c r="FDT186" s="7"/>
      <c r="FDU186" s="7"/>
      <c r="FDV186" s="7"/>
      <c r="FDW186" s="7"/>
      <c r="FDX186" s="7"/>
      <c r="FDY186" s="7"/>
      <c r="FDZ186" s="7"/>
      <c r="FEA186" s="7"/>
      <c r="FEB186" s="7"/>
      <c r="FEC186" s="7"/>
      <c r="FED186" s="7"/>
      <c r="FEE186" s="7"/>
      <c r="FEF186" s="7"/>
      <c r="FEG186" s="7"/>
      <c r="FEH186" s="7"/>
      <c r="FEI186" s="7"/>
      <c r="FEJ186" s="7"/>
      <c r="FEK186" s="7"/>
      <c r="FEL186" s="7"/>
      <c r="FEM186" s="7"/>
      <c r="FEN186" s="7"/>
      <c r="FEO186" s="7"/>
      <c r="FEP186" s="7"/>
      <c r="FEQ186" s="7"/>
      <c r="FER186" s="7"/>
      <c r="FES186" s="7"/>
      <c r="FET186" s="7"/>
      <c r="FEU186" s="7"/>
      <c r="FEV186" s="7"/>
      <c r="FEW186" s="7"/>
      <c r="FEX186" s="7"/>
      <c r="FEY186" s="7"/>
      <c r="FEZ186" s="7"/>
      <c r="FFA186" s="7"/>
      <c r="FFB186" s="7"/>
      <c r="FFC186" s="7"/>
      <c r="FFD186" s="7"/>
      <c r="FFE186" s="7"/>
      <c r="FFF186" s="7"/>
      <c r="FFG186" s="7"/>
      <c r="FFH186" s="7"/>
      <c r="FFI186" s="7"/>
      <c r="FFJ186" s="7"/>
      <c r="FFK186" s="7"/>
      <c r="FFL186" s="7"/>
      <c r="FFM186" s="7"/>
      <c r="FFN186" s="7"/>
      <c r="FFO186" s="7"/>
      <c r="FFP186" s="7"/>
      <c r="FFQ186" s="7"/>
      <c r="FFR186" s="7"/>
      <c r="FFS186" s="7"/>
      <c r="FFT186" s="7"/>
      <c r="FFU186" s="7"/>
      <c r="FFV186" s="7"/>
      <c r="FFW186" s="7"/>
      <c r="FFX186" s="7"/>
      <c r="FFY186" s="7"/>
      <c r="FFZ186" s="7"/>
      <c r="FGA186" s="7"/>
      <c r="FGB186" s="7"/>
      <c r="FGC186" s="7"/>
      <c r="FGD186" s="7"/>
      <c r="FGE186" s="7"/>
      <c r="FGF186" s="7"/>
      <c r="FGG186" s="7"/>
      <c r="FGH186" s="7"/>
      <c r="FGI186" s="7"/>
      <c r="FGJ186" s="7"/>
      <c r="FGK186" s="7"/>
      <c r="FGL186" s="7"/>
      <c r="FGM186" s="7"/>
      <c r="FGN186" s="7"/>
      <c r="FGO186" s="7"/>
      <c r="FGP186" s="7"/>
      <c r="FGQ186" s="7"/>
      <c r="FGR186" s="7"/>
      <c r="FGS186" s="7"/>
      <c r="FGT186" s="7"/>
      <c r="FGU186" s="7"/>
      <c r="FGV186" s="7"/>
      <c r="FGW186" s="7"/>
      <c r="FGX186" s="7"/>
      <c r="FGY186" s="7"/>
      <c r="FGZ186" s="7"/>
      <c r="FHA186" s="7"/>
      <c r="FHB186" s="7"/>
      <c r="FHC186" s="7"/>
      <c r="FHD186" s="7"/>
      <c r="FHE186" s="7"/>
      <c r="FHF186" s="7"/>
      <c r="FHG186" s="7"/>
      <c r="FHH186" s="7"/>
      <c r="FHI186" s="7"/>
      <c r="FHJ186" s="7"/>
      <c r="FHK186" s="7"/>
      <c r="FHL186" s="7"/>
      <c r="FHM186" s="7"/>
      <c r="FHN186" s="7"/>
      <c r="FHO186" s="7"/>
      <c r="FHP186" s="7"/>
      <c r="FHQ186" s="7"/>
      <c r="FHR186" s="7"/>
      <c r="FHS186" s="7"/>
      <c r="FHT186" s="7"/>
      <c r="FHU186" s="7"/>
      <c r="FHV186" s="7"/>
      <c r="FHW186" s="7"/>
      <c r="FHX186" s="7"/>
      <c r="FHY186" s="7"/>
      <c r="FHZ186" s="7"/>
      <c r="FIA186" s="7"/>
      <c r="FIB186" s="7"/>
      <c r="FIC186" s="7"/>
      <c r="FID186" s="7"/>
      <c r="FIE186" s="7"/>
      <c r="FIF186" s="7"/>
      <c r="FIG186" s="7"/>
      <c r="FIH186" s="7"/>
      <c r="FII186" s="7"/>
      <c r="FIJ186" s="7"/>
      <c r="FIK186" s="7"/>
      <c r="FIL186" s="7"/>
      <c r="FIM186" s="7"/>
      <c r="FIN186" s="7"/>
      <c r="FIO186" s="7"/>
      <c r="FIP186" s="7"/>
      <c r="FIQ186" s="7"/>
      <c r="FIR186" s="7"/>
      <c r="FIS186" s="7"/>
      <c r="FIT186" s="7"/>
      <c r="FIU186" s="7"/>
      <c r="FIV186" s="7"/>
      <c r="FIW186" s="7"/>
      <c r="FIX186" s="7"/>
      <c r="FIY186" s="7"/>
      <c r="FIZ186" s="7"/>
      <c r="FJA186" s="7"/>
      <c r="FJB186" s="7"/>
      <c r="FJC186" s="7"/>
      <c r="FJD186" s="7"/>
      <c r="FJE186" s="7"/>
      <c r="FJF186" s="7"/>
      <c r="FJG186" s="7"/>
      <c r="FJH186" s="7"/>
      <c r="FJI186" s="7"/>
      <c r="FJJ186" s="7"/>
      <c r="FJK186" s="7"/>
      <c r="FJL186" s="7"/>
      <c r="FJM186" s="7"/>
      <c r="FJN186" s="7"/>
      <c r="FJO186" s="7"/>
      <c r="FJP186" s="7"/>
      <c r="FJQ186" s="7"/>
      <c r="FJR186" s="7"/>
      <c r="FJS186" s="7"/>
      <c r="FJT186" s="7"/>
      <c r="FJU186" s="7"/>
      <c r="FJV186" s="7"/>
      <c r="FJW186" s="7"/>
      <c r="FJX186" s="7"/>
      <c r="FJY186" s="7"/>
      <c r="FJZ186" s="7"/>
      <c r="FKA186" s="7"/>
      <c r="FKB186" s="7"/>
      <c r="FKC186" s="7"/>
      <c r="FKD186" s="7"/>
      <c r="FKE186" s="7"/>
      <c r="FKF186" s="7"/>
      <c r="FKG186" s="7"/>
      <c r="FKH186" s="7"/>
      <c r="FKI186" s="7"/>
      <c r="FKJ186" s="7"/>
      <c r="FKK186" s="7"/>
      <c r="FKL186" s="7"/>
      <c r="FKM186" s="7"/>
      <c r="FKN186" s="7"/>
      <c r="FKO186" s="7"/>
      <c r="FKP186" s="7"/>
      <c r="FKQ186" s="7"/>
      <c r="FKR186" s="7"/>
      <c r="FKS186" s="7"/>
      <c r="FKT186" s="7"/>
      <c r="FKU186" s="7"/>
      <c r="FKV186" s="7"/>
      <c r="FKW186" s="7"/>
      <c r="FKX186" s="7"/>
      <c r="FKY186" s="7"/>
      <c r="FKZ186" s="7"/>
      <c r="FLA186" s="7"/>
      <c r="FLB186" s="7"/>
      <c r="FLC186" s="7"/>
      <c r="FLD186" s="7"/>
      <c r="FLE186" s="7"/>
      <c r="FLF186" s="7"/>
      <c r="FLG186" s="7"/>
      <c r="FLH186" s="7"/>
      <c r="FLI186" s="7"/>
      <c r="FLJ186" s="7"/>
      <c r="FLK186" s="7"/>
      <c r="FLL186" s="7"/>
      <c r="FLM186" s="7"/>
      <c r="FLN186" s="7"/>
      <c r="FLO186" s="7"/>
      <c r="FLP186" s="7"/>
      <c r="FLQ186" s="7"/>
      <c r="FLR186" s="7"/>
      <c r="FLS186" s="7"/>
      <c r="FLT186" s="7"/>
      <c r="FLU186" s="7"/>
      <c r="FLV186" s="7"/>
      <c r="FLW186" s="7"/>
      <c r="FLX186" s="7"/>
      <c r="FLY186" s="7"/>
      <c r="FLZ186" s="7"/>
      <c r="FMA186" s="7"/>
      <c r="FMB186" s="7"/>
      <c r="FMC186" s="7"/>
      <c r="FMD186" s="7"/>
      <c r="FME186" s="7"/>
      <c r="FMF186" s="7"/>
      <c r="FMG186" s="7"/>
      <c r="FMH186" s="7"/>
      <c r="FMI186" s="7"/>
      <c r="FMJ186" s="7"/>
      <c r="FMK186" s="7"/>
      <c r="FML186" s="7"/>
      <c r="FMM186" s="7"/>
      <c r="FMN186" s="7"/>
      <c r="FMO186" s="7"/>
      <c r="FMP186" s="7"/>
      <c r="FMQ186" s="7"/>
      <c r="FMR186" s="7"/>
      <c r="FMS186" s="7"/>
      <c r="FMT186" s="7"/>
      <c r="FMU186" s="7"/>
      <c r="FMV186" s="7"/>
      <c r="FMW186" s="7"/>
      <c r="FMX186" s="7"/>
      <c r="FMY186" s="7"/>
      <c r="FMZ186" s="7"/>
      <c r="FNA186" s="7"/>
      <c r="FNB186" s="7"/>
      <c r="FNC186" s="7"/>
      <c r="FND186" s="7"/>
      <c r="FNE186" s="7"/>
      <c r="FNF186" s="7"/>
      <c r="FNG186" s="7"/>
      <c r="FNH186" s="7"/>
      <c r="FNI186" s="7"/>
      <c r="FNJ186" s="7"/>
      <c r="FNK186" s="7"/>
      <c r="FNL186" s="7"/>
      <c r="FNM186" s="7"/>
      <c r="FNN186" s="7"/>
      <c r="FNO186" s="7"/>
      <c r="FNP186" s="7"/>
      <c r="FNQ186" s="7"/>
      <c r="FNR186" s="7"/>
      <c r="FNS186" s="7"/>
      <c r="FNT186" s="7"/>
      <c r="FNU186" s="7"/>
      <c r="FNV186" s="7"/>
      <c r="FNW186" s="7"/>
      <c r="FNX186" s="7"/>
      <c r="FNY186" s="7"/>
      <c r="FNZ186" s="7"/>
      <c r="FOA186" s="7"/>
      <c r="FOB186" s="7"/>
      <c r="FOC186" s="7"/>
      <c r="FOD186" s="7"/>
      <c r="FOE186" s="7"/>
      <c r="FOF186" s="7"/>
      <c r="FOG186" s="7"/>
      <c r="FOH186" s="7"/>
      <c r="FOI186" s="7"/>
      <c r="FOJ186" s="7"/>
      <c r="FOK186" s="7"/>
      <c r="FOL186" s="7"/>
      <c r="FOM186" s="7"/>
      <c r="FON186" s="7"/>
      <c r="FOO186" s="7"/>
      <c r="FOP186" s="7"/>
      <c r="FOQ186" s="7"/>
      <c r="FOR186" s="7"/>
      <c r="FOS186" s="7"/>
      <c r="FOT186" s="7"/>
      <c r="FOU186" s="7"/>
      <c r="FOV186" s="7"/>
      <c r="FOW186" s="7"/>
      <c r="FOX186" s="7"/>
      <c r="FOY186" s="7"/>
      <c r="FOZ186" s="7"/>
      <c r="FPA186" s="7"/>
      <c r="FPB186" s="7"/>
      <c r="FPC186" s="7"/>
      <c r="FPD186" s="7"/>
      <c r="FPE186" s="7"/>
      <c r="FPF186" s="7"/>
      <c r="FPG186" s="7"/>
      <c r="FPH186" s="7"/>
      <c r="FPI186" s="7"/>
      <c r="FPJ186" s="7"/>
      <c r="FPK186" s="7"/>
      <c r="FPL186" s="7"/>
      <c r="FPM186" s="7"/>
      <c r="FPN186" s="7"/>
      <c r="FPO186" s="7"/>
      <c r="FPP186" s="7"/>
      <c r="FPQ186" s="7"/>
      <c r="FPR186" s="7"/>
      <c r="FPS186" s="7"/>
      <c r="FPT186" s="7"/>
      <c r="FPU186" s="7"/>
      <c r="FPV186" s="7"/>
      <c r="FPW186" s="7"/>
      <c r="FPX186" s="7"/>
      <c r="FPY186" s="7"/>
      <c r="FPZ186" s="7"/>
      <c r="FQA186" s="7"/>
      <c r="FQB186" s="7"/>
      <c r="FQC186" s="7"/>
      <c r="FQD186" s="7"/>
      <c r="FQE186" s="7"/>
      <c r="FQF186" s="7"/>
      <c r="FQG186" s="7"/>
      <c r="FQH186" s="7"/>
      <c r="FQI186" s="7"/>
      <c r="FQJ186" s="7"/>
      <c r="FQK186" s="7"/>
      <c r="FQL186" s="7"/>
      <c r="FQM186" s="7"/>
      <c r="FQN186" s="7"/>
      <c r="FQO186" s="7"/>
      <c r="FQP186" s="7"/>
      <c r="FQQ186" s="7"/>
      <c r="FQR186" s="7"/>
      <c r="FQS186" s="7"/>
      <c r="FQT186" s="7"/>
      <c r="FQU186" s="7"/>
      <c r="FQV186" s="7"/>
      <c r="FQW186" s="7"/>
      <c r="FQX186" s="7"/>
      <c r="FQY186" s="7"/>
      <c r="FQZ186" s="7"/>
      <c r="FRA186" s="7"/>
      <c r="FRB186" s="7"/>
      <c r="FRC186" s="7"/>
      <c r="FRD186" s="7"/>
      <c r="FRE186" s="7"/>
      <c r="FRF186" s="7"/>
      <c r="FRG186" s="7"/>
      <c r="FRH186" s="7"/>
      <c r="FRI186" s="7"/>
      <c r="FRJ186" s="7"/>
      <c r="FRK186" s="7"/>
      <c r="FRL186" s="7"/>
      <c r="FRM186" s="7"/>
      <c r="FRN186" s="7"/>
      <c r="FRO186" s="7"/>
      <c r="FRP186" s="7"/>
      <c r="FRQ186" s="7"/>
      <c r="FRR186" s="7"/>
      <c r="FRS186" s="7"/>
      <c r="FRT186" s="7"/>
      <c r="FRU186" s="7"/>
      <c r="FRV186" s="7"/>
      <c r="FRW186" s="7"/>
      <c r="FRX186" s="7"/>
      <c r="FRY186" s="7"/>
      <c r="FRZ186" s="7"/>
      <c r="FSA186" s="7"/>
      <c r="FSB186" s="7"/>
      <c r="FSC186" s="7"/>
      <c r="FSD186" s="7"/>
      <c r="FSE186" s="7"/>
      <c r="FSF186" s="7"/>
      <c r="FSG186" s="7"/>
      <c r="FSH186" s="7"/>
      <c r="FSI186" s="7"/>
      <c r="FSJ186" s="7"/>
      <c r="FSK186" s="7"/>
      <c r="FSL186" s="7"/>
      <c r="FSM186" s="7"/>
      <c r="FSN186" s="7"/>
      <c r="FSO186" s="7"/>
      <c r="FSP186" s="7"/>
      <c r="FSQ186" s="7"/>
      <c r="FSR186" s="7"/>
      <c r="FSS186" s="7"/>
      <c r="FST186" s="7"/>
      <c r="FSU186" s="7"/>
      <c r="FSV186" s="7"/>
      <c r="FSW186" s="7"/>
      <c r="FSX186" s="7"/>
      <c r="FSY186" s="7"/>
      <c r="FSZ186" s="7"/>
      <c r="FTA186" s="7"/>
      <c r="FTB186" s="7"/>
      <c r="FTC186" s="7"/>
      <c r="FTD186" s="7"/>
      <c r="FTE186" s="7"/>
      <c r="FTF186" s="7"/>
      <c r="FTG186" s="7"/>
      <c r="FTH186" s="7"/>
      <c r="FTI186" s="7"/>
      <c r="FTJ186" s="7"/>
      <c r="FTK186" s="7"/>
      <c r="FTL186" s="7"/>
      <c r="FTM186" s="7"/>
      <c r="FTN186" s="7"/>
      <c r="FTO186" s="7"/>
      <c r="FTP186" s="7"/>
      <c r="FTQ186" s="7"/>
      <c r="FTR186" s="7"/>
      <c r="FTS186" s="7"/>
      <c r="FTT186" s="7"/>
      <c r="FTU186" s="7"/>
      <c r="FTV186" s="7"/>
      <c r="FTW186" s="7"/>
      <c r="FTX186" s="7"/>
      <c r="FTY186" s="7"/>
      <c r="FTZ186" s="7"/>
      <c r="FUA186" s="7"/>
      <c r="FUB186" s="7"/>
      <c r="FUC186" s="7"/>
      <c r="FUD186" s="7"/>
      <c r="FUE186" s="7"/>
      <c r="FUF186" s="7"/>
      <c r="FUG186" s="7"/>
      <c r="FUH186" s="7"/>
      <c r="FUI186" s="7"/>
      <c r="FUJ186" s="7"/>
      <c r="FUK186" s="7"/>
      <c r="FUL186" s="7"/>
      <c r="FUM186" s="7"/>
      <c r="FUN186" s="7"/>
      <c r="FUO186" s="7"/>
      <c r="FUP186" s="7"/>
      <c r="FUQ186" s="7"/>
      <c r="FUR186" s="7"/>
      <c r="FUS186" s="7"/>
      <c r="FUT186" s="7"/>
      <c r="FUU186" s="7"/>
      <c r="FUV186" s="7"/>
      <c r="FUW186" s="7"/>
      <c r="FUX186" s="7"/>
      <c r="FUY186" s="7"/>
      <c r="FUZ186" s="7"/>
      <c r="FVA186" s="7"/>
      <c r="FVB186" s="7"/>
      <c r="FVC186" s="7"/>
      <c r="FVD186" s="7"/>
      <c r="FVE186" s="7"/>
      <c r="FVF186" s="7"/>
      <c r="FVG186" s="7"/>
      <c r="FVH186" s="7"/>
      <c r="FVI186" s="7"/>
      <c r="FVJ186" s="7"/>
      <c r="FVK186" s="7"/>
      <c r="FVL186" s="7"/>
      <c r="FVM186" s="7"/>
      <c r="FVN186" s="7"/>
      <c r="FVO186" s="7"/>
      <c r="FVP186" s="7"/>
      <c r="FVQ186" s="7"/>
      <c r="FVR186" s="7"/>
      <c r="FVS186" s="7"/>
      <c r="FVT186" s="7"/>
      <c r="FVU186" s="7"/>
      <c r="FVV186" s="7"/>
      <c r="FVW186" s="7"/>
      <c r="FVX186" s="7"/>
      <c r="FVY186" s="7"/>
      <c r="FVZ186" s="7"/>
      <c r="FWA186" s="7"/>
      <c r="FWB186" s="7"/>
      <c r="FWC186" s="7"/>
      <c r="FWD186" s="7"/>
      <c r="FWE186" s="7"/>
      <c r="FWF186" s="7"/>
      <c r="FWG186" s="7"/>
      <c r="FWH186" s="7"/>
      <c r="FWI186" s="7"/>
      <c r="FWJ186" s="7"/>
      <c r="FWK186" s="7"/>
      <c r="FWL186" s="7"/>
      <c r="FWM186" s="7"/>
      <c r="FWN186" s="7"/>
      <c r="FWO186" s="7"/>
      <c r="FWP186" s="7"/>
      <c r="FWQ186" s="7"/>
      <c r="FWR186" s="7"/>
      <c r="FWS186" s="7"/>
      <c r="FWT186" s="7"/>
      <c r="FWU186" s="7"/>
      <c r="FWV186" s="7"/>
      <c r="FWW186" s="7"/>
      <c r="FWX186" s="7"/>
      <c r="FWY186" s="7"/>
      <c r="FWZ186" s="7"/>
      <c r="FXA186" s="7"/>
      <c r="FXB186" s="7"/>
      <c r="FXC186" s="7"/>
      <c r="FXD186" s="7"/>
      <c r="FXE186" s="7"/>
      <c r="FXF186" s="7"/>
      <c r="FXG186" s="7"/>
      <c r="FXH186" s="7"/>
      <c r="FXI186" s="7"/>
      <c r="FXJ186" s="7"/>
      <c r="FXK186" s="7"/>
      <c r="FXL186" s="7"/>
      <c r="FXM186" s="7"/>
      <c r="FXN186" s="7"/>
      <c r="FXO186" s="7"/>
      <c r="FXP186" s="7"/>
      <c r="FXQ186" s="7"/>
      <c r="FXR186" s="7"/>
      <c r="FXS186" s="7"/>
      <c r="FXT186" s="7"/>
      <c r="FXU186" s="7"/>
      <c r="FXV186" s="7"/>
      <c r="FXW186" s="7"/>
      <c r="FXX186" s="7"/>
      <c r="FXY186" s="7"/>
      <c r="FXZ186" s="7"/>
      <c r="FYA186" s="7"/>
      <c r="FYB186" s="7"/>
      <c r="FYC186" s="7"/>
      <c r="FYD186" s="7"/>
      <c r="FYE186" s="7"/>
      <c r="FYF186" s="7"/>
      <c r="FYG186" s="7"/>
      <c r="FYH186" s="7"/>
      <c r="FYI186" s="7"/>
      <c r="FYJ186" s="7"/>
      <c r="FYK186" s="7"/>
      <c r="FYL186" s="7"/>
      <c r="FYM186" s="7"/>
      <c r="FYN186" s="7"/>
      <c r="FYO186" s="7"/>
      <c r="FYP186" s="7"/>
      <c r="FYQ186" s="7"/>
      <c r="FYR186" s="7"/>
      <c r="FYS186" s="7"/>
      <c r="FYT186" s="7"/>
      <c r="FYU186" s="7"/>
      <c r="FYV186" s="7"/>
      <c r="FYW186" s="7"/>
      <c r="FYX186" s="7"/>
      <c r="FYY186" s="7"/>
      <c r="FYZ186" s="7"/>
      <c r="FZA186" s="7"/>
      <c r="FZB186" s="7"/>
      <c r="FZC186" s="7"/>
      <c r="FZD186" s="7"/>
      <c r="FZE186" s="7"/>
      <c r="FZF186" s="7"/>
      <c r="FZG186" s="7"/>
      <c r="FZH186" s="7"/>
      <c r="FZI186" s="7"/>
      <c r="FZJ186" s="7"/>
      <c r="FZK186" s="7"/>
      <c r="FZL186" s="7"/>
      <c r="FZM186" s="7"/>
      <c r="FZN186" s="7"/>
      <c r="FZO186" s="7"/>
      <c r="FZP186" s="7"/>
      <c r="FZQ186" s="7"/>
      <c r="FZR186" s="7"/>
      <c r="FZS186" s="7"/>
      <c r="FZT186" s="7"/>
      <c r="FZU186" s="7"/>
      <c r="FZV186" s="7"/>
      <c r="FZW186" s="7"/>
      <c r="FZX186" s="7"/>
      <c r="FZY186" s="7"/>
      <c r="FZZ186" s="7"/>
      <c r="GAA186" s="7"/>
      <c r="GAB186" s="7"/>
      <c r="GAC186" s="7"/>
      <c r="GAD186" s="7"/>
      <c r="GAE186" s="7"/>
      <c r="GAF186" s="7"/>
      <c r="GAG186" s="7"/>
      <c r="GAH186" s="7"/>
      <c r="GAI186" s="7"/>
      <c r="GAJ186" s="7"/>
      <c r="GAK186" s="7"/>
      <c r="GAL186" s="7"/>
      <c r="GAM186" s="7"/>
      <c r="GAN186" s="7"/>
      <c r="GAO186" s="7"/>
      <c r="GAP186" s="7"/>
      <c r="GAQ186" s="7"/>
      <c r="GAR186" s="7"/>
      <c r="GAS186" s="7"/>
      <c r="GAT186" s="7"/>
      <c r="GAU186" s="7"/>
      <c r="GAV186" s="7"/>
      <c r="GAW186" s="7"/>
      <c r="GAX186" s="7"/>
      <c r="GAY186" s="7"/>
      <c r="GAZ186" s="7"/>
      <c r="GBA186" s="7"/>
      <c r="GBB186" s="7"/>
      <c r="GBC186" s="7"/>
      <c r="GBD186" s="7"/>
      <c r="GBE186" s="7"/>
      <c r="GBF186" s="7"/>
      <c r="GBG186" s="7"/>
      <c r="GBH186" s="7"/>
      <c r="GBI186" s="7"/>
      <c r="GBJ186" s="7"/>
      <c r="GBK186" s="7"/>
      <c r="GBL186" s="7"/>
      <c r="GBM186" s="7"/>
      <c r="GBN186" s="7"/>
      <c r="GBO186" s="7"/>
      <c r="GBP186" s="7"/>
      <c r="GBQ186" s="7"/>
      <c r="GBR186" s="7"/>
      <c r="GBS186" s="7"/>
      <c r="GBT186" s="7"/>
      <c r="GBU186" s="7"/>
      <c r="GBV186" s="7"/>
      <c r="GBW186" s="7"/>
      <c r="GBX186" s="7"/>
      <c r="GBY186" s="7"/>
      <c r="GBZ186" s="7"/>
      <c r="GCA186" s="7"/>
      <c r="GCB186" s="7"/>
      <c r="GCC186" s="7"/>
      <c r="GCD186" s="7"/>
      <c r="GCE186" s="7"/>
      <c r="GCF186" s="7"/>
      <c r="GCG186" s="7"/>
      <c r="GCH186" s="7"/>
      <c r="GCI186" s="7"/>
      <c r="GCJ186" s="7"/>
      <c r="GCK186" s="7"/>
      <c r="GCL186" s="7"/>
      <c r="GCM186" s="7"/>
      <c r="GCN186" s="7"/>
      <c r="GCO186" s="7"/>
      <c r="GCP186" s="7"/>
      <c r="GCQ186" s="7"/>
      <c r="GCR186" s="7"/>
      <c r="GCS186" s="7"/>
      <c r="GCT186" s="7"/>
      <c r="GCU186" s="7"/>
      <c r="GCV186" s="7"/>
      <c r="GCW186" s="7"/>
      <c r="GCX186" s="7"/>
      <c r="GCY186" s="7"/>
      <c r="GCZ186" s="7"/>
      <c r="GDA186" s="7"/>
      <c r="GDB186" s="7"/>
      <c r="GDC186" s="7"/>
      <c r="GDD186" s="7"/>
      <c r="GDE186" s="7"/>
      <c r="GDF186" s="7"/>
      <c r="GDG186" s="7"/>
      <c r="GDH186" s="7"/>
      <c r="GDI186" s="7"/>
      <c r="GDJ186" s="7"/>
      <c r="GDK186" s="7"/>
      <c r="GDL186" s="7"/>
      <c r="GDM186" s="7"/>
      <c r="GDN186" s="7"/>
      <c r="GDO186" s="7"/>
      <c r="GDP186" s="7"/>
      <c r="GDQ186" s="7"/>
      <c r="GDR186" s="7"/>
      <c r="GDS186" s="7"/>
      <c r="GDT186" s="7"/>
      <c r="GDU186" s="7"/>
      <c r="GDV186" s="7"/>
      <c r="GDW186" s="7"/>
      <c r="GDX186" s="7"/>
      <c r="GDY186" s="7"/>
      <c r="GDZ186" s="7"/>
      <c r="GEA186" s="7"/>
      <c r="GEB186" s="7"/>
      <c r="GEC186" s="7"/>
      <c r="GED186" s="7"/>
      <c r="GEE186" s="7"/>
      <c r="GEF186" s="7"/>
      <c r="GEG186" s="7"/>
      <c r="GEH186" s="7"/>
      <c r="GEI186" s="7"/>
      <c r="GEJ186" s="7"/>
      <c r="GEK186" s="7"/>
      <c r="GEL186" s="7"/>
      <c r="GEM186" s="7"/>
      <c r="GEN186" s="7"/>
      <c r="GEO186" s="7"/>
      <c r="GEP186" s="7"/>
      <c r="GEQ186" s="7"/>
      <c r="GER186" s="7"/>
      <c r="GES186" s="7"/>
      <c r="GET186" s="7"/>
      <c r="GEU186" s="7"/>
      <c r="GEV186" s="7"/>
      <c r="GEW186" s="7"/>
      <c r="GEX186" s="7"/>
      <c r="GEY186" s="7"/>
      <c r="GEZ186" s="7"/>
      <c r="GFA186" s="7"/>
      <c r="GFB186" s="7"/>
      <c r="GFC186" s="7"/>
      <c r="GFD186" s="7"/>
      <c r="GFE186" s="7"/>
      <c r="GFF186" s="7"/>
      <c r="GFG186" s="7"/>
      <c r="GFH186" s="7"/>
      <c r="GFI186" s="7"/>
      <c r="GFJ186" s="7"/>
      <c r="GFK186" s="7"/>
      <c r="GFL186" s="7"/>
      <c r="GFM186" s="7"/>
      <c r="GFN186" s="7"/>
      <c r="GFO186" s="7"/>
      <c r="GFP186" s="7"/>
      <c r="GFQ186" s="7"/>
      <c r="GFR186" s="7"/>
      <c r="GFS186" s="7"/>
      <c r="GFT186" s="7"/>
      <c r="GFU186" s="7"/>
      <c r="GFV186" s="7"/>
      <c r="GFW186" s="7"/>
      <c r="GFX186" s="7"/>
      <c r="GFY186" s="7"/>
      <c r="GFZ186" s="7"/>
      <c r="GGA186" s="7"/>
      <c r="GGB186" s="7"/>
      <c r="GGC186" s="7"/>
      <c r="GGD186" s="7"/>
      <c r="GGE186" s="7"/>
      <c r="GGF186" s="7"/>
      <c r="GGG186" s="7"/>
      <c r="GGH186" s="7"/>
      <c r="GGI186" s="7"/>
      <c r="GGJ186" s="7"/>
      <c r="GGK186" s="7"/>
      <c r="GGL186" s="7"/>
      <c r="GGM186" s="7"/>
      <c r="GGN186" s="7"/>
      <c r="GGO186" s="7"/>
      <c r="GGP186" s="7"/>
      <c r="GGQ186" s="7"/>
      <c r="GGR186" s="7"/>
      <c r="GGS186" s="7"/>
      <c r="GGT186" s="7"/>
      <c r="GGU186" s="7"/>
      <c r="GGV186" s="7"/>
      <c r="GGW186" s="7"/>
      <c r="GGX186" s="7"/>
      <c r="GGY186" s="7"/>
      <c r="GGZ186" s="7"/>
      <c r="GHA186" s="7"/>
      <c r="GHB186" s="7"/>
      <c r="GHC186" s="7"/>
      <c r="GHD186" s="7"/>
      <c r="GHE186" s="7"/>
      <c r="GHF186" s="7"/>
      <c r="GHG186" s="7"/>
      <c r="GHH186" s="7"/>
      <c r="GHI186" s="7"/>
      <c r="GHJ186" s="7"/>
      <c r="GHK186" s="7"/>
      <c r="GHL186" s="7"/>
      <c r="GHM186" s="7"/>
      <c r="GHN186" s="7"/>
      <c r="GHO186" s="7"/>
      <c r="GHP186" s="7"/>
      <c r="GHQ186" s="7"/>
      <c r="GHR186" s="7"/>
      <c r="GHS186" s="7"/>
      <c r="GHT186" s="7"/>
      <c r="GHU186" s="7"/>
      <c r="GHV186" s="7"/>
      <c r="GHW186" s="7"/>
      <c r="GHX186" s="7"/>
      <c r="GHY186" s="7"/>
      <c r="GHZ186" s="7"/>
      <c r="GIA186" s="7"/>
      <c r="GIB186" s="7"/>
      <c r="GIC186" s="7"/>
      <c r="GID186" s="7"/>
      <c r="GIE186" s="7"/>
      <c r="GIF186" s="7"/>
      <c r="GIG186" s="7"/>
      <c r="GIH186" s="7"/>
      <c r="GII186" s="7"/>
      <c r="GIJ186" s="7"/>
      <c r="GIK186" s="7"/>
      <c r="GIL186" s="7"/>
      <c r="GIM186" s="7"/>
      <c r="GIN186" s="7"/>
      <c r="GIO186" s="7"/>
      <c r="GIP186" s="7"/>
      <c r="GIQ186" s="7"/>
      <c r="GIR186" s="7"/>
      <c r="GIS186" s="7"/>
      <c r="GIT186" s="7"/>
      <c r="GIU186" s="7"/>
      <c r="GIV186" s="7"/>
      <c r="GIW186" s="7"/>
      <c r="GIX186" s="7"/>
      <c r="GIY186" s="7"/>
      <c r="GIZ186" s="7"/>
      <c r="GJA186" s="7"/>
      <c r="GJB186" s="7"/>
      <c r="GJC186" s="7"/>
      <c r="GJD186" s="7"/>
      <c r="GJE186" s="7"/>
      <c r="GJF186" s="7"/>
      <c r="GJG186" s="7"/>
      <c r="GJH186" s="7"/>
      <c r="GJI186" s="7"/>
      <c r="GJJ186" s="7"/>
      <c r="GJK186" s="7"/>
      <c r="GJL186" s="7"/>
      <c r="GJM186" s="7"/>
      <c r="GJN186" s="7"/>
      <c r="GJO186" s="7"/>
      <c r="GJP186" s="7"/>
      <c r="GJQ186" s="7"/>
      <c r="GJR186" s="7"/>
      <c r="GJS186" s="7"/>
      <c r="GJT186" s="7"/>
      <c r="GJU186" s="7"/>
      <c r="GJV186" s="7"/>
      <c r="GJW186" s="7"/>
      <c r="GJX186" s="7"/>
      <c r="GJY186" s="7"/>
      <c r="GJZ186" s="7"/>
      <c r="GKA186" s="7"/>
      <c r="GKB186" s="7"/>
      <c r="GKC186" s="7"/>
      <c r="GKD186" s="7"/>
      <c r="GKE186" s="7"/>
      <c r="GKF186" s="7"/>
      <c r="GKG186" s="7"/>
      <c r="GKH186" s="7"/>
      <c r="GKI186" s="7"/>
      <c r="GKJ186" s="7"/>
      <c r="GKK186" s="7"/>
      <c r="GKL186" s="7"/>
      <c r="GKM186" s="7"/>
      <c r="GKN186" s="7"/>
      <c r="GKO186" s="7"/>
      <c r="GKP186" s="7"/>
      <c r="GKQ186" s="7"/>
      <c r="GKR186" s="7"/>
      <c r="GKS186" s="7"/>
      <c r="GKT186" s="7"/>
      <c r="GKU186" s="7"/>
      <c r="GKV186" s="7"/>
      <c r="GKW186" s="7"/>
      <c r="GKX186" s="7"/>
      <c r="GKY186" s="7"/>
      <c r="GKZ186" s="7"/>
      <c r="GLA186" s="7"/>
      <c r="GLB186" s="7"/>
      <c r="GLC186" s="7"/>
      <c r="GLD186" s="7"/>
      <c r="GLE186" s="7"/>
      <c r="GLF186" s="7"/>
      <c r="GLG186" s="7"/>
      <c r="GLH186" s="7"/>
      <c r="GLI186" s="7"/>
      <c r="GLJ186" s="7"/>
      <c r="GLK186" s="7"/>
      <c r="GLL186" s="7"/>
      <c r="GLM186" s="7"/>
      <c r="GLN186" s="7"/>
      <c r="GLO186" s="7"/>
      <c r="GLP186" s="7"/>
      <c r="GLQ186" s="7"/>
      <c r="GLR186" s="7"/>
      <c r="GLS186" s="7"/>
      <c r="GLT186" s="7"/>
      <c r="GLU186" s="7"/>
      <c r="GLV186" s="7"/>
      <c r="GLW186" s="7"/>
      <c r="GLX186" s="7"/>
      <c r="GLY186" s="7"/>
      <c r="GLZ186" s="7"/>
      <c r="GMA186" s="7"/>
      <c r="GMB186" s="7"/>
      <c r="GMC186" s="7"/>
      <c r="GMD186" s="7"/>
      <c r="GME186" s="7"/>
      <c r="GMF186" s="7"/>
      <c r="GMG186" s="7"/>
      <c r="GMH186" s="7"/>
      <c r="GMI186" s="7"/>
      <c r="GMJ186" s="7"/>
      <c r="GMK186" s="7"/>
      <c r="GML186" s="7"/>
      <c r="GMM186" s="7"/>
      <c r="GMN186" s="7"/>
      <c r="GMO186" s="7"/>
      <c r="GMP186" s="7"/>
      <c r="GMQ186" s="7"/>
      <c r="GMR186" s="7"/>
      <c r="GMS186" s="7"/>
      <c r="GMT186" s="7"/>
      <c r="GMU186" s="7"/>
      <c r="GMV186" s="7"/>
      <c r="GMW186" s="7"/>
      <c r="GMX186" s="7"/>
      <c r="GMY186" s="7"/>
      <c r="GMZ186" s="7"/>
      <c r="GNA186" s="7"/>
      <c r="GNB186" s="7"/>
      <c r="GNC186" s="7"/>
      <c r="GND186" s="7"/>
      <c r="GNE186" s="7"/>
      <c r="GNF186" s="7"/>
      <c r="GNG186" s="7"/>
      <c r="GNH186" s="7"/>
      <c r="GNI186" s="7"/>
      <c r="GNJ186" s="7"/>
      <c r="GNK186" s="7"/>
      <c r="GNL186" s="7"/>
      <c r="GNM186" s="7"/>
      <c r="GNN186" s="7"/>
      <c r="GNO186" s="7"/>
      <c r="GNP186" s="7"/>
      <c r="GNQ186" s="7"/>
      <c r="GNR186" s="7"/>
      <c r="GNS186" s="7"/>
      <c r="GNT186" s="7"/>
      <c r="GNU186" s="7"/>
      <c r="GNV186" s="7"/>
      <c r="GNW186" s="7"/>
      <c r="GNX186" s="7"/>
      <c r="GNY186" s="7"/>
      <c r="GNZ186" s="7"/>
      <c r="GOA186" s="7"/>
      <c r="GOB186" s="7"/>
      <c r="GOC186" s="7"/>
      <c r="GOD186" s="7"/>
      <c r="GOE186" s="7"/>
      <c r="GOF186" s="7"/>
      <c r="GOG186" s="7"/>
      <c r="GOH186" s="7"/>
      <c r="GOI186" s="7"/>
      <c r="GOJ186" s="7"/>
      <c r="GOK186" s="7"/>
      <c r="GOL186" s="7"/>
      <c r="GOM186" s="7"/>
      <c r="GON186" s="7"/>
      <c r="GOO186" s="7"/>
      <c r="GOP186" s="7"/>
      <c r="GOQ186" s="7"/>
      <c r="GOR186" s="7"/>
      <c r="GOS186" s="7"/>
      <c r="GOT186" s="7"/>
      <c r="GOU186" s="7"/>
      <c r="GOV186" s="7"/>
      <c r="GOW186" s="7"/>
      <c r="GOX186" s="7"/>
      <c r="GOY186" s="7"/>
      <c r="GOZ186" s="7"/>
      <c r="GPA186" s="7"/>
      <c r="GPB186" s="7"/>
      <c r="GPC186" s="7"/>
      <c r="GPD186" s="7"/>
      <c r="GPE186" s="7"/>
      <c r="GPF186" s="7"/>
      <c r="GPG186" s="7"/>
      <c r="GPH186" s="7"/>
      <c r="GPI186" s="7"/>
      <c r="GPJ186" s="7"/>
      <c r="GPK186" s="7"/>
      <c r="GPL186" s="7"/>
      <c r="GPM186" s="7"/>
      <c r="GPN186" s="7"/>
      <c r="GPO186" s="7"/>
      <c r="GPP186" s="7"/>
      <c r="GPQ186" s="7"/>
      <c r="GPR186" s="7"/>
      <c r="GPS186" s="7"/>
      <c r="GPT186" s="7"/>
      <c r="GPU186" s="7"/>
      <c r="GPV186" s="7"/>
      <c r="GPW186" s="7"/>
      <c r="GPX186" s="7"/>
      <c r="GPY186" s="7"/>
      <c r="GPZ186" s="7"/>
      <c r="GQA186" s="7"/>
      <c r="GQB186" s="7"/>
      <c r="GQC186" s="7"/>
      <c r="GQD186" s="7"/>
      <c r="GQE186" s="7"/>
      <c r="GQF186" s="7"/>
      <c r="GQG186" s="7"/>
      <c r="GQH186" s="7"/>
      <c r="GQI186" s="7"/>
      <c r="GQJ186" s="7"/>
      <c r="GQK186" s="7"/>
      <c r="GQL186" s="7"/>
      <c r="GQM186" s="7"/>
      <c r="GQN186" s="7"/>
      <c r="GQO186" s="7"/>
      <c r="GQP186" s="7"/>
      <c r="GQQ186" s="7"/>
      <c r="GQR186" s="7"/>
      <c r="GQS186" s="7"/>
      <c r="GQT186" s="7"/>
      <c r="GQU186" s="7"/>
      <c r="GQV186" s="7"/>
      <c r="GQW186" s="7"/>
      <c r="GQX186" s="7"/>
      <c r="GQY186" s="7"/>
      <c r="GQZ186" s="7"/>
      <c r="GRA186" s="7"/>
      <c r="GRB186" s="7"/>
      <c r="GRC186" s="7"/>
      <c r="GRD186" s="7"/>
      <c r="GRE186" s="7"/>
      <c r="GRF186" s="7"/>
      <c r="GRG186" s="7"/>
      <c r="GRH186" s="7"/>
      <c r="GRI186" s="7"/>
      <c r="GRJ186" s="7"/>
      <c r="GRK186" s="7"/>
      <c r="GRL186" s="7"/>
      <c r="GRM186" s="7"/>
      <c r="GRN186" s="7"/>
      <c r="GRO186" s="7"/>
      <c r="GRP186" s="7"/>
      <c r="GRQ186" s="7"/>
      <c r="GRR186" s="7"/>
      <c r="GRS186" s="7"/>
      <c r="GRT186" s="7"/>
      <c r="GRU186" s="7"/>
      <c r="GRV186" s="7"/>
      <c r="GRW186" s="7"/>
      <c r="GRX186" s="7"/>
      <c r="GRY186" s="7"/>
      <c r="GRZ186" s="7"/>
      <c r="GSA186" s="7"/>
      <c r="GSB186" s="7"/>
      <c r="GSC186" s="7"/>
      <c r="GSD186" s="7"/>
      <c r="GSE186" s="7"/>
      <c r="GSF186" s="7"/>
      <c r="GSG186" s="7"/>
      <c r="GSH186" s="7"/>
      <c r="GSI186" s="7"/>
      <c r="GSJ186" s="7"/>
      <c r="GSK186" s="7"/>
      <c r="GSL186" s="7"/>
      <c r="GSM186" s="7"/>
      <c r="GSN186" s="7"/>
      <c r="GSO186" s="7"/>
      <c r="GSP186" s="7"/>
      <c r="GSQ186" s="7"/>
      <c r="GSR186" s="7"/>
      <c r="GSS186" s="7"/>
      <c r="GST186" s="7"/>
      <c r="GSU186" s="7"/>
      <c r="GSV186" s="7"/>
      <c r="GSW186" s="7"/>
      <c r="GSX186" s="7"/>
      <c r="GSY186" s="7"/>
      <c r="GSZ186" s="7"/>
      <c r="GTA186" s="7"/>
      <c r="GTB186" s="7"/>
      <c r="GTC186" s="7"/>
      <c r="GTD186" s="7"/>
      <c r="GTE186" s="7"/>
      <c r="GTF186" s="7"/>
      <c r="GTG186" s="7"/>
      <c r="GTH186" s="7"/>
      <c r="GTI186" s="7"/>
      <c r="GTJ186" s="7"/>
      <c r="GTK186" s="7"/>
      <c r="GTL186" s="7"/>
      <c r="GTM186" s="7"/>
      <c r="GTN186" s="7"/>
      <c r="GTO186" s="7"/>
      <c r="GTP186" s="7"/>
      <c r="GTQ186" s="7"/>
      <c r="GTR186" s="7"/>
      <c r="GTS186" s="7"/>
      <c r="GTT186" s="7"/>
      <c r="GTU186" s="7"/>
      <c r="GTV186" s="7"/>
      <c r="GTW186" s="7"/>
      <c r="GTX186" s="7"/>
      <c r="GTY186" s="7"/>
      <c r="GTZ186" s="7"/>
      <c r="GUA186" s="7"/>
      <c r="GUB186" s="7"/>
      <c r="GUC186" s="7"/>
      <c r="GUD186" s="7"/>
      <c r="GUE186" s="7"/>
      <c r="GUF186" s="7"/>
      <c r="GUG186" s="7"/>
      <c r="GUH186" s="7"/>
      <c r="GUI186" s="7"/>
      <c r="GUJ186" s="7"/>
      <c r="GUK186" s="7"/>
      <c r="GUL186" s="7"/>
      <c r="GUM186" s="7"/>
      <c r="GUN186" s="7"/>
      <c r="GUO186" s="7"/>
      <c r="GUP186" s="7"/>
      <c r="GUQ186" s="7"/>
      <c r="GUR186" s="7"/>
      <c r="GUS186" s="7"/>
      <c r="GUT186" s="7"/>
      <c r="GUU186" s="7"/>
      <c r="GUV186" s="7"/>
      <c r="GUW186" s="7"/>
      <c r="GUX186" s="7"/>
      <c r="GUY186" s="7"/>
      <c r="GUZ186" s="7"/>
      <c r="GVA186" s="7"/>
      <c r="GVB186" s="7"/>
      <c r="GVC186" s="7"/>
      <c r="GVD186" s="7"/>
      <c r="GVE186" s="7"/>
      <c r="GVF186" s="7"/>
      <c r="GVG186" s="7"/>
      <c r="GVH186" s="7"/>
      <c r="GVI186" s="7"/>
      <c r="GVJ186" s="7"/>
      <c r="GVK186" s="7"/>
      <c r="GVL186" s="7"/>
      <c r="GVM186" s="7"/>
      <c r="GVN186" s="7"/>
      <c r="GVO186" s="7"/>
      <c r="GVP186" s="7"/>
      <c r="GVQ186" s="7"/>
      <c r="GVR186" s="7"/>
      <c r="GVS186" s="7"/>
      <c r="GVT186" s="7"/>
      <c r="GVU186" s="7"/>
      <c r="GVV186" s="7"/>
      <c r="GVW186" s="7"/>
      <c r="GVX186" s="7"/>
      <c r="GVY186" s="7"/>
      <c r="GVZ186" s="7"/>
      <c r="GWA186" s="7"/>
      <c r="GWB186" s="7"/>
      <c r="GWC186" s="7"/>
      <c r="GWD186" s="7"/>
      <c r="GWE186" s="7"/>
      <c r="GWF186" s="7"/>
      <c r="GWG186" s="7"/>
      <c r="GWH186" s="7"/>
      <c r="GWI186" s="7"/>
      <c r="GWJ186" s="7"/>
      <c r="GWK186" s="7"/>
      <c r="GWL186" s="7"/>
      <c r="GWM186" s="7"/>
      <c r="GWN186" s="7"/>
      <c r="GWO186" s="7"/>
      <c r="GWP186" s="7"/>
      <c r="GWQ186" s="7"/>
      <c r="GWR186" s="7"/>
      <c r="GWS186" s="7"/>
      <c r="GWT186" s="7"/>
      <c r="GWU186" s="7"/>
      <c r="GWV186" s="7"/>
      <c r="GWW186" s="7"/>
      <c r="GWX186" s="7"/>
      <c r="GWY186" s="7"/>
      <c r="GWZ186" s="7"/>
      <c r="GXA186" s="7"/>
      <c r="GXB186" s="7"/>
      <c r="GXC186" s="7"/>
      <c r="GXD186" s="7"/>
      <c r="GXE186" s="7"/>
      <c r="GXF186" s="7"/>
      <c r="GXG186" s="7"/>
      <c r="GXH186" s="7"/>
      <c r="GXI186" s="7"/>
      <c r="GXJ186" s="7"/>
      <c r="GXK186" s="7"/>
      <c r="GXL186" s="7"/>
      <c r="GXM186" s="7"/>
      <c r="GXN186" s="7"/>
      <c r="GXO186" s="7"/>
      <c r="GXP186" s="7"/>
      <c r="GXQ186" s="7"/>
      <c r="GXR186" s="7"/>
      <c r="GXS186" s="7"/>
      <c r="GXT186" s="7"/>
      <c r="GXU186" s="7"/>
      <c r="GXV186" s="7"/>
      <c r="GXW186" s="7"/>
      <c r="GXX186" s="7"/>
      <c r="GXY186" s="7"/>
      <c r="GXZ186" s="7"/>
      <c r="GYA186" s="7"/>
      <c r="GYB186" s="7"/>
      <c r="GYC186" s="7"/>
      <c r="GYD186" s="7"/>
      <c r="GYE186" s="7"/>
      <c r="GYF186" s="7"/>
      <c r="GYG186" s="7"/>
      <c r="GYH186" s="7"/>
      <c r="GYI186" s="7"/>
      <c r="GYJ186" s="7"/>
      <c r="GYK186" s="7"/>
      <c r="GYL186" s="7"/>
      <c r="GYM186" s="7"/>
      <c r="GYN186" s="7"/>
      <c r="GYO186" s="7"/>
      <c r="GYP186" s="7"/>
      <c r="GYQ186" s="7"/>
      <c r="GYR186" s="7"/>
      <c r="GYS186" s="7"/>
      <c r="GYT186" s="7"/>
      <c r="GYU186" s="7"/>
      <c r="GYV186" s="7"/>
      <c r="GYW186" s="7"/>
      <c r="GYX186" s="7"/>
      <c r="GYY186" s="7"/>
      <c r="GYZ186" s="7"/>
      <c r="GZA186" s="7"/>
      <c r="GZB186" s="7"/>
      <c r="GZC186" s="7"/>
      <c r="GZD186" s="7"/>
      <c r="GZE186" s="7"/>
      <c r="GZF186" s="7"/>
      <c r="GZG186" s="7"/>
      <c r="GZH186" s="7"/>
      <c r="GZI186" s="7"/>
      <c r="GZJ186" s="7"/>
      <c r="GZK186" s="7"/>
      <c r="GZL186" s="7"/>
      <c r="GZM186" s="7"/>
      <c r="GZN186" s="7"/>
      <c r="GZO186" s="7"/>
      <c r="GZP186" s="7"/>
      <c r="GZQ186" s="7"/>
      <c r="GZR186" s="7"/>
      <c r="GZS186" s="7"/>
      <c r="GZT186" s="7"/>
      <c r="GZU186" s="7"/>
      <c r="GZV186" s="7"/>
      <c r="GZW186" s="7"/>
      <c r="GZX186" s="7"/>
      <c r="GZY186" s="7"/>
      <c r="GZZ186" s="7"/>
      <c r="HAA186" s="7"/>
      <c r="HAB186" s="7"/>
      <c r="HAC186" s="7"/>
      <c r="HAD186" s="7"/>
      <c r="HAE186" s="7"/>
      <c r="HAF186" s="7"/>
      <c r="HAG186" s="7"/>
      <c r="HAH186" s="7"/>
      <c r="HAI186" s="7"/>
      <c r="HAJ186" s="7"/>
      <c r="HAK186" s="7"/>
      <c r="HAL186" s="7"/>
      <c r="HAM186" s="7"/>
      <c r="HAN186" s="7"/>
      <c r="HAO186" s="7"/>
      <c r="HAP186" s="7"/>
      <c r="HAQ186" s="7"/>
      <c r="HAR186" s="7"/>
      <c r="HAS186" s="7"/>
      <c r="HAT186" s="7"/>
      <c r="HAU186" s="7"/>
      <c r="HAV186" s="7"/>
      <c r="HAW186" s="7"/>
      <c r="HAX186" s="7"/>
      <c r="HAY186" s="7"/>
      <c r="HAZ186" s="7"/>
      <c r="HBA186" s="7"/>
      <c r="HBB186" s="7"/>
      <c r="HBC186" s="7"/>
      <c r="HBD186" s="7"/>
      <c r="HBE186" s="7"/>
      <c r="HBF186" s="7"/>
      <c r="HBG186" s="7"/>
      <c r="HBH186" s="7"/>
      <c r="HBI186" s="7"/>
      <c r="HBJ186" s="7"/>
      <c r="HBK186" s="7"/>
      <c r="HBL186" s="7"/>
      <c r="HBM186" s="7"/>
      <c r="HBN186" s="7"/>
      <c r="HBO186" s="7"/>
      <c r="HBP186" s="7"/>
      <c r="HBQ186" s="7"/>
      <c r="HBR186" s="7"/>
      <c r="HBS186" s="7"/>
      <c r="HBT186" s="7"/>
      <c r="HBU186" s="7"/>
      <c r="HBV186" s="7"/>
      <c r="HBW186" s="7"/>
      <c r="HBX186" s="7"/>
      <c r="HBY186" s="7"/>
      <c r="HBZ186" s="7"/>
      <c r="HCA186" s="7"/>
      <c r="HCB186" s="7"/>
      <c r="HCC186" s="7"/>
      <c r="HCD186" s="7"/>
      <c r="HCE186" s="7"/>
      <c r="HCF186" s="7"/>
      <c r="HCG186" s="7"/>
      <c r="HCH186" s="7"/>
      <c r="HCI186" s="7"/>
      <c r="HCJ186" s="7"/>
      <c r="HCK186" s="7"/>
      <c r="HCL186" s="7"/>
      <c r="HCM186" s="7"/>
      <c r="HCN186" s="7"/>
      <c r="HCO186" s="7"/>
      <c r="HCP186" s="7"/>
      <c r="HCQ186" s="7"/>
      <c r="HCR186" s="7"/>
      <c r="HCS186" s="7"/>
      <c r="HCT186" s="7"/>
      <c r="HCU186" s="7"/>
      <c r="HCV186" s="7"/>
      <c r="HCW186" s="7"/>
      <c r="HCX186" s="7"/>
      <c r="HCY186" s="7"/>
      <c r="HCZ186" s="7"/>
      <c r="HDA186" s="7"/>
      <c r="HDB186" s="7"/>
      <c r="HDC186" s="7"/>
      <c r="HDD186" s="7"/>
      <c r="HDE186" s="7"/>
      <c r="HDF186" s="7"/>
      <c r="HDG186" s="7"/>
      <c r="HDH186" s="7"/>
      <c r="HDI186" s="7"/>
      <c r="HDJ186" s="7"/>
      <c r="HDK186" s="7"/>
      <c r="HDL186" s="7"/>
      <c r="HDM186" s="7"/>
      <c r="HDN186" s="7"/>
      <c r="HDO186" s="7"/>
      <c r="HDP186" s="7"/>
      <c r="HDQ186" s="7"/>
      <c r="HDR186" s="7"/>
      <c r="HDS186" s="7"/>
      <c r="HDT186" s="7"/>
      <c r="HDU186" s="7"/>
      <c r="HDV186" s="7"/>
      <c r="HDW186" s="7"/>
      <c r="HDX186" s="7"/>
      <c r="HDY186" s="7"/>
      <c r="HDZ186" s="7"/>
      <c r="HEA186" s="7"/>
      <c r="HEB186" s="7"/>
      <c r="HEC186" s="7"/>
      <c r="HED186" s="7"/>
      <c r="HEE186" s="7"/>
      <c r="HEF186" s="7"/>
      <c r="HEG186" s="7"/>
      <c r="HEH186" s="7"/>
      <c r="HEI186" s="7"/>
      <c r="HEJ186" s="7"/>
      <c r="HEK186" s="7"/>
      <c r="HEL186" s="7"/>
      <c r="HEM186" s="7"/>
      <c r="HEN186" s="7"/>
      <c r="HEO186" s="7"/>
      <c r="HEP186" s="7"/>
      <c r="HEQ186" s="7"/>
      <c r="HER186" s="7"/>
      <c r="HES186" s="7"/>
      <c r="HET186" s="7"/>
      <c r="HEU186" s="7"/>
      <c r="HEV186" s="7"/>
      <c r="HEW186" s="7"/>
      <c r="HEX186" s="7"/>
      <c r="HEY186" s="7"/>
      <c r="HEZ186" s="7"/>
      <c r="HFA186" s="7"/>
      <c r="HFB186" s="7"/>
      <c r="HFC186" s="7"/>
      <c r="HFD186" s="7"/>
      <c r="HFE186" s="7"/>
      <c r="HFF186" s="7"/>
      <c r="HFG186" s="7"/>
      <c r="HFH186" s="7"/>
      <c r="HFI186" s="7"/>
      <c r="HFJ186" s="7"/>
      <c r="HFK186" s="7"/>
      <c r="HFL186" s="7"/>
      <c r="HFM186" s="7"/>
      <c r="HFN186" s="7"/>
      <c r="HFO186" s="7"/>
      <c r="HFP186" s="7"/>
      <c r="HFQ186" s="7"/>
      <c r="HFR186" s="7"/>
      <c r="HFS186" s="7"/>
      <c r="HFT186" s="7"/>
      <c r="HFU186" s="7"/>
      <c r="HFV186" s="7"/>
      <c r="HFW186" s="7"/>
      <c r="HFX186" s="7"/>
      <c r="HFY186" s="7"/>
      <c r="HFZ186" s="7"/>
      <c r="HGA186" s="7"/>
      <c r="HGB186" s="7"/>
      <c r="HGC186" s="7"/>
      <c r="HGD186" s="7"/>
      <c r="HGE186" s="7"/>
      <c r="HGF186" s="7"/>
      <c r="HGG186" s="7"/>
      <c r="HGH186" s="7"/>
      <c r="HGI186" s="7"/>
      <c r="HGJ186" s="7"/>
      <c r="HGK186" s="7"/>
      <c r="HGL186" s="7"/>
      <c r="HGM186" s="7"/>
      <c r="HGN186" s="7"/>
      <c r="HGO186" s="7"/>
      <c r="HGP186" s="7"/>
      <c r="HGQ186" s="7"/>
      <c r="HGR186" s="7"/>
      <c r="HGS186" s="7"/>
      <c r="HGT186" s="7"/>
      <c r="HGU186" s="7"/>
      <c r="HGV186" s="7"/>
      <c r="HGW186" s="7"/>
      <c r="HGX186" s="7"/>
      <c r="HGY186" s="7"/>
      <c r="HGZ186" s="7"/>
      <c r="HHA186" s="7"/>
      <c r="HHB186" s="7"/>
      <c r="HHC186" s="7"/>
      <c r="HHD186" s="7"/>
      <c r="HHE186" s="7"/>
      <c r="HHF186" s="7"/>
      <c r="HHG186" s="7"/>
      <c r="HHH186" s="7"/>
      <c r="HHI186" s="7"/>
      <c r="HHJ186" s="7"/>
      <c r="HHK186" s="7"/>
      <c r="HHL186" s="7"/>
      <c r="HHM186" s="7"/>
      <c r="HHN186" s="7"/>
      <c r="HHO186" s="7"/>
      <c r="HHP186" s="7"/>
      <c r="HHQ186" s="7"/>
      <c r="HHR186" s="7"/>
      <c r="HHS186" s="7"/>
      <c r="HHT186" s="7"/>
      <c r="HHU186" s="7"/>
      <c r="HHV186" s="7"/>
      <c r="HHW186" s="7"/>
      <c r="HHX186" s="7"/>
      <c r="HHY186" s="7"/>
      <c r="HHZ186" s="7"/>
      <c r="HIA186" s="7"/>
      <c r="HIB186" s="7"/>
      <c r="HIC186" s="7"/>
      <c r="HID186" s="7"/>
      <c r="HIE186" s="7"/>
      <c r="HIF186" s="7"/>
      <c r="HIG186" s="7"/>
      <c r="HIH186" s="7"/>
      <c r="HII186" s="7"/>
      <c r="HIJ186" s="7"/>
      <c r="HIK186" s="7"/>
      <c r="HIL186" s="7"/>
      <c r="HIM186" s="7"/>
      <c r="HIN186" s="7"/>
      <c r="HIO186" s="7"/>
      <c r="HIP186" s="7"/>
      <c r="HIQ186" s="7"/>
      <c r="HIR186" s="7"/>
      <c r="HIS186" s="7"/>
      <c r="HIT186" s="7"/>
      <c r="HIU186" s="7"/>
      <c r="HIV186" s="7"/>
      <c r="HIW186" s="7"/>
      <c r="HIX186" s="7"/>
      <c r="HIY186" s="7"/>
      <c r="HIZ186" s="7"/>
      <c r="HJA186" s="7"/>
      <c r="HJB186" s="7"/>
      <c r="HJC186" s="7"/>
      <c r="HJD186" s="7"/>
      <c r="HJE186" s="7"/>
      <c r="HJF186" s="7"/>
      <c r="HJG186" s="7"/>
      <c r="HJH186" s="7"/>
      <c r="HJI186" s="7"/>
      <c r="HJJ186" s="7"/>
      <c r="HJK186" s="7"/>
      <c r="HJL186" s="7"/>
      <c r="HJM186" s="7"/>
      <c r="HJN186" s="7"/>
      <c r="HJO186" s="7"/>
      <c r="HJP186" s="7"/>
      <c r="HJQ186" s="7"/>
      <c r="HJR186" s="7"/>
      <c r="HJS186" s="7"/>
      <c r="HJT186" s="7"/>
      <c r="HJU186" s="7"/>
      <c r="HJV186" s="7"/>
      <c r="HJW186" s="7"/>
      <c r="HJX186" s="7"/>
      <c r="HJY186" s="7"/>
      <c r="HJZ186" s="7"/>
      <c r="HKA186" s="7"/>
      <c r="HKB186" s="7"/>
      <c r="HKC186" s="7"/>
      <c r="HKD186" s="7"/>
      <c r="HKE186" s="7"/>
      <c r="HKF186" s="7"/>
      <c r="HKG186" s="7"/>
      <c r="HKH186" s="7"/>
      <c r="HKI186" s="7"/>
      <c r="HKJ186" s="7"/>
      <c r="HKK186" s="7"/>
      <c r="HKL186" s="7"/>
      <c r="HKM186" s="7"/>
      <c r="HKN186" s="7"/>
      <c r="HKO186" s="7"/>
      <c r="HKP186" s="7"/>
      <c r="HKQ186" s="7"/>
      <c r="HKR186" s="7"/>
      <c r="HKS186" s="7"/>
      <c r="HKT186" s="7"/>
      <c r="HKU186" s="7"/>
      <c r="HKV186" s="7"/>
      <c r="HKW186" s="7"/>
      <c r="HKX186" s="7"/>
      <c r="HKY186" s="7"/>
      <c r="HKZ186" s="7"/>
      <c r="HLA186" s="7"/>
      <c r="HLB186" s="7"/>
      <c r="HLC186" s="7"/>
      <c r="HLD186" s="7"/>
      <c r="HLE186" s="7"/>
      <c r="HLF186" s="7"/>
      <c r="HLG186" s="7"/>
      <c r="HLH186" s="7"/>
      <c r="HLI186" s="7"/>
      <c r="HLJ186" s="7"/>
      <c r="HLK186" s="7"/>
      <c r="HLL186" s="7"/>
      <c r="HLM186" s="7"/>
      <c r="HLN186" s="7"/>
      <c r="HLO186" s="7"/>
      <c r="HLP186" s="7"/>
      <c r="HLQ186" s="7"/>
      <c r="HLR186" s="7"/>
      <c r="HLS186" s="7"/>
      <c r="HLT186" s="7"/>
      <c r="HLU186" s="7"/>
      <c r="HLV186" s="7"/>
      <c r="HLW186" s="7"/>
      <c r="HLX186" s="7"/>
      <c r="HLY186" s="7"/>
      <c r="HLZ186" s="7"/>
      <c r="HMA186" s="7"/>
      <c r="HMB186" s="7"/>
      <c r="HMC186" s="7"/>
      <c r="HMD186" s="7"/>
      <c r="HME186" s="7"/>
      <c r="HMF186" s="7"/>
      <c r="HMG186" s="7"/>
      <c r="HMH186" s="7"/>
      <c r="HMI186" s="7"/>
      <c r="HMJ186" s="7"/>
      <c r="HMK186" s="7"/>
      <c r="HML186" s="7"/>
      <c r="HMM186" s="7"/>
      <c r="HMN186" s="7"/>
      <c r="HMO186" s="7"/>
      <c r="HMP186" s="7"/>
      <c r="HMQ186" s="7"/>
      <c r="HMR186" s="7"/>
      <c r="HMS186" s="7"/>
      <c r="HMT186" s="7"/>
      <c r="HMU186" s="7"/>
      <c r="HMV186" s="7"/>
      <c r="HMW186" s="7"/>
      <c r="HMX186" s="7"/>
      <c r="HMY186" s="7"/>
      <c r="HMZ186" s="7"/>
      <c r="HNA186" s="7"/>
      <c r="HNB186" s="7"/>
      <c r="HNC186" s="7"/>
      <c r="HND186" s="7"/>
      <c r="HNE186" s="7"/>
      <c r="HNF186" s="7"/>
      <c r="HNG186" s="7"/>
      <c r="HNH186" s="7"/>
      <c r="HNI186" s="7"/>
      <c r="HNJ186" s="7"/>
      <c r="HNK186" s="7"/>
      <c r="HNL186" s="7"/>
      <c r="HNM186" s="7"/>
      <c r="HNN186" s="7"/>
      <c r="HNO186" s="7"/>
      <c r="HNP186" s="7"/>
      <c r="HNQ186" s="7"/>
      <c r="HNR186" s="7"/>
      <c r="HNS186" s="7"/>
      <c r="HNT186" s="7"/>
      <c r="HNU186" s="7"/>
      <c r="HNV186" s="7"/>
      <c r="HNW186" s="7"/>
      <c r="HNX186" s="7"/>
      <c r="HNY186" s="7"/>
      <c r="HNZ186" s="7"/>
      <c r="HOA186" s="7"/>
      <c r="HOB186" s="7"/>
      <c r="HOC186" s="7"/>
      <c r="HOD186" s="7"/>
      <c r="HOE186" s="7"/>
      <c r="HOF186" s="7"/>
      <c r="HOG186" s="7"/>
      <c r="HOH186" s="7"/>
      <c r="HOI186" s="7"/>
      <c r="HOJ186" s="7"/>
      <c r="HOK186" s="7"/>
      <c r="HOL186" s="7"/>
      <c r="HOM186" s="7"/>
      <c r="HON186" s="7"/>
      <c r="HOO186" s="7"/>
      <c r="HOP186" s="7"/>
      <c r="HOQ186" s="7"/>
      <c r="HOR186" s="7"/>
      <c r="HOS186" s="7"/>
      <c r="HOT186" s="7"/>
      <c r="HOU186" s="7"/>
      <c r="HOV186" s="7"/>
      <c r="HOW186" s="7"/>
      <c r="HOX186" s="7"/>
      <c r="HOY186" s="7"/>
      <c r="HOZ186" s="7"/>
      <c r="HPA186" s="7"/>
      <c r="HPB186" s="7"/>
      <c r="HPC186" s="7"/>
      <c r="HPD186" s="7"/>
      <c r="HPE186" s="7"/>
      <c r="HPF186" s="7"/>
      <c r="HPG186" s="7"/>
      <c r="HPH186" s="7"/>
      <c r="HPI186" s="7"/>
      <c r="HPJ186" s="7"/>
      <c r="HPK186" s="7"/>
      <c r="HPL186" s="7"/>
      <c r="HPM186" s="7"/>
      <c r="HPN186" s="7"/>
      <c r="HPO186" s="7"/>
      <c r="HPP186" s="7"/>
      <c r="HPQ186" s="7"/>
      <c r="HPR186" s="7"/>
      <c r="HPS186" s="7"/>
      <c r="HPT186" s="7"/>
      <c r="HPU186" s="7"/>
      <c r="HPV186" s="7"/>
      <c r="HPW186" s="7"/>
      <c r="HPX186" s="7"/>
      <c r="HPY186" s="7"/>
      <c r="HPZ186" s="7"/>
      <c r="HQA186" s="7"/>
      <c r="HQB186" s="7"/>
      <c r="HQC186" s="7"/>
      <c r="HQD186" s="7"/>
      <c r="HQE186" s="7"/>
      <c r="HQF186" s="7"/>
      <c r="HQG186" s="7"/>
      <c r="HQH186" s="7"/>
      <c r="HQI186" s="7"/>
      <c r="HQJ186" s="7"/>
      <c r="HQK186" s="7"/>
      <c r="HQL186" s="7"/>
      <c r="HQM186" s="7"/>
      <c r="HQN186" s="7"/>
      <c r="HQO186" s="7"/>
      <c r="HQP186" s="7"/>
      <c r="HQQ186" s="7"/>
      <c r="HQR186" s="7"/>
      <c r="HQS186" s="7"/>
      <c r="HQT186" s="7"/>
      <c r="HQU186" s="7"/>
      <c r="HQV186" s="7"/>
      <c r="HQW186" s="7"/>
      <c r="HQX186" s="7"/>
      <c r="HQY186" s="7"/>
      <c r="HQZ186" s="7"/>
      <c r="HRA186" s="7"/>
      <c r="HRB186" s="7"/>
      <c r="HRC186" s="7"/>
      <c r="HRD186" s="7"/>
      <c r="HRE186" s="7"/>
      <c r="HRF186" s="7"/>
      <c r="HRG186" s="7"/>
      <c r="HRH186" s="7"/>
      <c r="HRI186" s="7"/>
      <c r="HRJ186" s="7"/>
      <c r="HRK186" s="7"/>
      <c r="HRL186" s="7"/>
      <c r="HRM186" s="7"/>
      <c r="HRN186" s="7"/>
      <c r="HRO186" s="7"/>
      <c r="HRP186" s="7"/>
      <c r="HRQ186" s="7"/>
      <c r="HRR186" s="7"/>
      <c r="HRS186" s="7"/>
      <c r="HRT186" s="7"/>
      <c r="HRU186" s="7"/>
      <c r="HRV186" s="7"/>
      <c r="HRW186" s="7"/>
      <c r="HRX186" s="7"/>
      <c r="HRY186" s="7"/>
      <c r="HRZ186" s="7"/>
      <c r="HSA186" s="7"/>
      <c r="HSB186" s="7"/>
      <c r="HSC186" s="7"/>
      <c r="HSD186" s="7"/>
      <c r="HSE186" s="7"/>
      <c r="HSF186" s="7"/>
      <c r="HSG186" s="7"/>
      <c r="HSH186" s="7"/>
      <c r="HSI186" s="7"/>
      <c r="HSJ186" s="7"/>
      <c r="HSK186" s="7"/>
      <c r="HSL186" s="7"/>
      <c r="HSM186" s="7"/>
      <c r="HSN186" s="7"/>
      <c r="HSO186" s="7"/>
      <c r="HSP186" s="7"/>
      <c r="HSQ186" s="7"/>
      <c r="HSR186" s="7"/>
      <c r="HSS186" s="7"/>
      <c r="HST186" s="7"/>
      <c r="HSU186" s="7"/>
      <c r="HSV186" s="7"/>
      <c r="HSW186" s="7"/>
      <c r="HSX186" s="7"/>
      <c r="HSY186" s="7"/>
      <c r="HSZ186" s="7"/>
      <c r="HTA186" s="7"/>
      <c r="HTB186" s="7"/>
      <c r="HTC186" s="7"/>
      <c r="HTD186" s="7"/>
      <c r="HTE186" s="7"/>
      <c r="HTF186" s="7"/>
      <c r="HTG186" s="7"/>
      <c r="HTH186" s="7"/>
      <c r="HTI186" s="7"/>
      <c r="HTJ186" s="7"/>
      <c r="HTK186" s="7"/>
      <c r="HTL186" s="7"/>
      <c r="HTM186" s="7"/>
      <c r="HTN186" s="7"/>
      <c r="HTO186" s="7"/>
      <c r="HTP186" s="7"/>
      <c r="HTQ186" s="7"/>
      <c r="HTR186" s="7"/>
      <c r="HTS186" s="7"/>
      <c r="HTT186" s="7"/>
      <c r="HTU186" s="7"/>
      <c r="HTV186" s="7"/>
      <c r="HTW186" s="7"/>
      <c r="HTX186" s="7"/>
      <c r="HTY186" s="7"/>
      <c r="HTZ186" s="7"/>
      <c r="HUA186" s="7"/>
      <c r="HUB186" s="7"/>
      <c r="HUC186" s="7"/>
      <c r="HUD186" s="7"/>
      <c r="HUE186" s="7"/>
      <c r="HUF186" s="7"/>
      <c r="HUG186" s="7"/>
      <c r="HUH186" s="7"/>
      <c r="HUI186" s="7"/>
      <c r="HUJ186" s="7"/>
      <c r="HUK186" s="7"/>
      <c r="HUL186" s="7"/>
      <c r="HUM186" s="7"/>
      <c r="HUN186" s="7"/>
      <c r="HUO186" s="7"/>
      <c r="HUP186" s="7"/>
      <c r="HUQ186" s="7"/>
      <c r="HUR186" s="7"/>
      <c r="HUS186" s="7"/>
      <c r="HUT186" s="7"/>
      <c r="HUU186" s="7"/>
      <c r="HUV186" s="7"/>
      <c r="HUW186" s="7"/>
      <c r="HUX186" s="7"/>
      <c r="HUY186" s="7"/>
      <c r="HUZ186" s="7"/>
      <c r="HVA186" s="7"/>
      <c r="HVB186" s="7"/>
      <c r="HVC186" s="7"/>
      <c r="HVD186" s="7"/>
      <c r="HVE186" s="7"/>
      <c r="HVF186" s="7"/>
      <c r="HVG186" s="7"/>
      <c r="HVH186" s="7"/>
      <c r="HVI186" s="7"/>
      <c r="HVJ186" s="7"/>
      <c r="HVK186" s="7"/>
      <c r="HVL186" s="7"/>
      <c r="HVM186" s="7"/>
      <c r="HVN186" s="7"/>
      <c r="HVO186" s="7"/>
      <c r="HVP186" s="7"/>
      <c r="HVQ186" s="7"/>
      <c r="HVR186" s="7"/>
      <c r="HVS186" s="7"/>
      <c r="HVT186" s="7"/>
      <c r="HVU186" s="7"/>
      <c r="HVV186" s="7"/>
      <c r="HVW186" s="7"/>
      <c r="HVX186" s="7"/>
      <c r="HVY186" s="7"/>
      <c r="HVZ186" s="7"/>
      <c r="HWA186" s="7"/>
      <c r="HWB186" s="7"/>
      <c r="HWC186" s="7"/>
      <c r="HWD186" s="7"/>
      <c r="HWE186" s="7"/>
      <c r="HWF186" s="7"/>
      <c r="HWG186" s="7"/>
      <c r="HWH186" s="7"/>
      <c r="HWI186" s="7"/>
      <c r="HWJ186" s="7"/>
      <c r="HWK186" s="7"/>
      <c r="HWL186" s="7"/>
      <c r="HWM186" s="7"/>
      <c r="HWN186" s="7"/>
      <c r="HWO186" s="7"/>
      <c r="HWP186" s="7"/>
      <c r="HWQ186" s="7"/>
      <c r="HWR186" s="7"/>
      <c r="HWS186" s="7"/>
      <c r="HWT186" s="7"/>
      <c r="HWU186" s="7"/>
      <c r="HWV186" s="7"/>
      <c r="HWW186" s="7"/>
      <c r="HWX186" s="7"/>
      <c r="HWY186" s="7"/>
      <c r="HWZ186" s="7"/>
      <c r="HXA186" s="7"/>
      <c r="HXB186" s="7"/>
      <c r="HXC186" s="7"/>
      <c r="HXD186" s="7"/>
      <c r="HXE186" s="7"/>
      <c r="HXF186" s="7"/>
      <c r="HXG186" s="7"/>
      <c r="HXH186" s="7"/>
      <c r="HXI186" s="7"/>
      <c r="HXJ186" s="7"/>
      <c r="HXK186" s="7"/>
      <c r="HXL186" s="7"/>
      <c r="HXM186" s="7"/>
      <c r="HXN186" s="7"/>
      <c r="HXO186" s="7"/>
      <c r="HXP186" s="7"/>
      <c r="HXQ186" s="7"/>
      <c r="HXR186" s="7"/>
      <c r="HXS186" s="7"/>
      <c r="HXT186" s="7"/>
      <c r="HXU186" s="7"/>
      <c r="HXV186" s="7"/>
      <c r="HXW186" s="7"/>
      <c r="HXX186" s="7"/>
      <c r="HXY186" s="7"/>
      <c r="HXZ186" s="7"/>
      <c r="HYA186" s="7"/>
      <c r="HYB186" s="7"/>
      <c r="HYC186" s="7"/>
      <c r="HYD186" s="7"/>
      <c r="HYE186" s="7"/>
      <c r="HYF186" s="7"/>
      <c r="HYG186" s="7"/>
      <c r="HYH186" s="7"/>
      <c r="HYI186" s="7"/>
      <c r="HYJ186" s="7"/>
      <c r="HYK186" s="7"/>
      <c r="HYL186" s="7"/>
      <c r="HYM186" s="7"/>
      <c r="HYN186" s="7"/>
      <c r="HYO186" s="7"/>
      <c r="HYP186" s="7"/>
      <c r="HYQ186" s="7"/>
      <c r="HYR186" s="7"/>
      <c r="HYS186" s="7"/>
      <c r="HYT186" s="7"/>
      <c r="HYU186" s="7"/>
      <c r="HYV186" s="7"/>
      <c r="HYW186" s="7"/>
      <c r="HYX186" s="7"/>
      <c r="HYY186" s="7"/>
      <c r="HYZ186" s="7"/>
      <c r="HZA186" s="7"/>
      <c r="HZB186" s="7"/>
      <c r="HZC186" s="7"/>
      <c r="HZD186" s="7"/>
      <c r="HZE186" s="7"/>
      <c r="HZF186" s="7"/>
      <c r="HZG186" s="7"/>
      <c r="HZH186" s="7"/>
      <c r="HZI186" s="7"/>
      <c r="HZJ186" s="7"/>
      <c r="HZK186" s="7"/>
      <c r="HZL186" s="7"/>
      <c r="HZM186" s="7"/>
      <c r="HZN186" s="7"/>
      <c r="HZO186" s="7"/>
      <c r="HZP186" s="7"/>
      <c r="HZQ186" s="7"/>
      <c r="HZR186" s="7"/>
      <c r="HZS186" s="7"/>
      <c r="HZT186" s="7"/>
      <c r="HZU186" s="7"/>
      <c r="HZV186" s="7"/>
      <c r="HZW186" s="7"/>
      <c r="HZX186" s="7"/>
      <c r="HZY186" s="7"/>
      <c r="HZZ186" s="7"/>
      <c r="IAA186" s="7"/>
      <c r="IAB186" s="7"/>
      <c r="IAC186" s="7"/>
      <c r="IAD186" s="7"/>
      <c r="IAE186" s="7"/>
      <c r="IAF186" s="7"/>
      <c r="IAG186" s="7"/>
      <c r="IAH186" s="7"/>
      <c r="IAI186" s="7"/>
      <c r="IAJ186" s="7"/>
      <c r="IAK186" s="7"/>
      <c r="IAL186" s="7"/>
      <c r="IAM186" s="7"/>
      <c r="IAN186" s="7"/>
      <c r="IAO186" s="7"/>
      <c r="IAP186" s="7"/>
      <c r="IAQ186" s="7"/>
      <c r="IAR186" s="7"/>
      <c r="IAS186" s="7"/>
      <c r="IAT186" s="7"/>
      <c r="IAU186" s="7"/>
      <c r="IAV186" s="7"/>
      <c r="IAW186" s="7"/>
      <c r="IAX186" s="7"/>
      <c r="IAY186" s="7"/>
      <c r="IAZ186" s="7"/>
      <c r="IBA186" s="7"/>
      <c r="IBB186" s="7"/>
      <c r="IBC186" s="7"/>
      <c r="IBD186" s="7"/>
      <c r="IBE186" s="7"/>
      <c r="IBF186" s="7"/>
      <c r="IBG186" s="7"/>
      <c r="IBH186" s="7"/>
      <c r="IBI186" s="7"/>
      <c r="IBJ186" s="7"/>
      <c r="IBK186" s="7"/>
      <c r="IBL186" s="7"/>
      <c r="IBM186" s="7"/>
      <c r="IBN186" s="7"/>
      <c r="IBO186" s="7"/>
      <c r="IBP186" s="7"/>
      <c r="IBQ186" s="7"/>
      <c r="IBR186" s="7"/>
      <c r="IBS186" s="7"/>
      <c r="IBT186" s="7"/>
      <c r="IBU186" s="7"/>
      <c r="IBV186" s="7"/>
      <c r="IBW186" s="7"/>
      <c r="IBX186" s="7"/>
      <c r="IBY186" s="7"/>
      <c r="IBZ186" s="7"/>
      <c r="ICA186" s="7"/>
      <c r="ICB186" s="7"/>
      <c r="ICC186" s="7"/>
      <c r="ICD186" s="7"/>
      <c r="ICE186" s="7"/>
      <c r="ICF186" s="7"/>
      <c r="ICG186" s="7"/>
      <c r="ICH186" s="7"/>
      <c r="ICI186" s="7"/>
      <c r="ICJ186" s="7"/>
      <c r="ICK186" s="7"/>
      <c r="ICL186" s="7"/>
      <c r="ICM186" s="7"/>
      <c r="ICN186" s="7"/>
      <c r="ICO186" s="7"/>
      <c r="ICP186" s="7"/>
      <c r="ICQ186" s="7"/>
      <c r="ICR186" s="7"/>
      <c r="ICS186" s="7"/>
      <c r="ICT186" s="7"/>
      <c r="ICU186" s="7"/>
      <c r="ICV186" s="7"/>
      <c r="ICW186" s="7"/>
      <c r="ICX186" s="7"/>
      <c r="ICY186" s="7"/>
      <c r="ICZ186" s="7"/>
      <c r="IDA186" s="7"/>
      <c r="IDB186" s="7"/>
      <c r="IDC186" s="7"/>
      <c r="IDD186" s="7"/>
      <c r="IDE186" s="7"/>
      <c r="IDF186" s="7"/>
      <c r="IDG186" s="7"/>
      <c r="IDH186" s="7"/>
      <c r="IDI186" s="7"/>
      <c r="IDJ186" s="7"/>
      <c r="IDK186" s="7"/>
      <c r="IDL186" s="7"/>
      <c r="IDM186" s="7"/>
      <c r="IDN186" s="7"/>
      <c r="IDO186" s="7"/>
      <c r="IDP186" s="7"/>
      <c r="IDQ186" s="7"/>
      <c r="IDR186" s="7"/>
      <c r="IDS186" s="7"/>
      <c r="IDT186" s="7"/>
      <c r="IDU186" s="7"/>
      <c r="IDV186" s="7"/>
      <c r="IDW186" s="7"/>
      <c r="IDX186" s="7"/>
      <c r="IDY186" s="7"/>
      <c r="IDZ186" s="7"/>
      <c r="IEA186" s="7"/>
      <c r="IEB186" s="7"/>
      <c r="IEC186" s="7"/>
      <c r="IED186" s="7"/>
      <c r="IEE186" s="7"/>
      <c r="IEF186" s="7"/>
      <c r="IEG186" s="7"/>
      <c r="IEH186" s="7"/>
      <c r="IEI186" s="7"/>
      <c r="IEJ186" s="7"/>
      <c r="IEK186" s="7"/>
      <c r="IEL186" s="7"/>
      <c r="IEM186" s="7"/>
      <c r="IEN186" s="7"/>
      <c r="IEO186" s="7"/>
      <c r="IEP186" s="7"/>
      <c r="IEQ186" s="7"/>
      <c r="IER186" s="7"/>
      <c r="IES186" s="7"/>
      <c r="IET186" s="7"/>
      <c r="IEU186" s="7"/>
      <c r="IEV186" s="7"/>
      <c r="IEW186" s="7"/>
      <c r="IEX186" s="7"/>
      <c r="IEY186" s="7"/>
      <c r="IEZ186" s="7"/>
      <c r="IFA186" s="7"/>
      <c r="IFB186" s="7"/>
      <c r="IFC186" s="7"/>
      <c r="IFD186" s="7"/>
      <c r="IFE186" s="7"/>
      <c r="IFF186" s="7"/>
      <c r="IFG186" s="7"/>
      <c r="IFH186" s="7"/>
      <c r="IFI186" s="7"/>
      <c r="IFJ186" s="7"/>
      <c r="IFK186" s="7"/>
      <c r="IFL186" s="7"/>
      <c r="IFM186" s="7"/>
      <c r="IFN186" s="7"/>
      <c r="IFO186" s="7"/>
      <c r="IFP186" s="7"/>
      <c r="IFQ186" s="7"/>
      <c r="IFR186" s="7"/>
      <c r="IFS186" s="7"/>
      <c r="IFT186" s="7"/>
      <c r="IFU186" s="7"/>
      <c r="IFV186" s="7"/>
      <c r="IFW186" s="7"/>
      <c r="IFX186" s="7"/>
      <c r="IFY186" s="7"/>
      <c r="IFZ186" s="7"/>
      <c r="IGA186" s="7"/>
      <c r="IGB186" s="7"/>
      <c r="IGC186" s="7"/>
      <c r="IGD186" s="7"/>
      <c r="IGE186" s="7"/>
      <c r="IGF186" s="7"/>
      <c r="IGG186" s="7"/>
      <c r="IGH186" s="7"/>
      <c r="IGI186" s="7"/>
      <c r="IGJ186" s="7"/>
      <c r="IGK186" s="7"/>
      <c r="IGL186" s="7"/>
      <c r="IGM186" s="7"/>
      <c r="IGN186" s="7"/>
      <c r="IGO186" s="7"/>
      <c r="IGP186" s="7"/>
      <c r="IGQ186" s="7"/>
      <c r="IGR186" s="7"/>
      <c r="IGS186" s="7"/>
      <c r="IGT186" s="7"/>
      <c r="IGU186" s="7"/>
      <c r="IGV186" s="7"/>
      <c r="IGW186" s="7"/>
      <c r="IGX186" s="7"/>
      <c r="IGY186" s="7"/>
      <c r="IGZ186" s="7"/>
      <c r="IHA186" s="7"/>
      <c r="IHB186" s="7"/>
      <c r="IHC186" s="7"/>
      <c r="IHD186" s="7"/>
      <c r="IHE186" s="7"/>
      <c r="IHF186" s="7"/>
      <c r="IHG186" s="7"/>
      <c r="IHH186" s="7"/>
      <c r="IHI186" s="7"/>
      <c r="IHJ186" s="7"/>
      <c r="IHK186" s="7"/>
      <c r="IHL186" s="7"/>
      <c r="IHM186" s="7"/>
      <c r="IHN186" s="7"/>
      <c r="IHO186" s="7"/>
      <c r="IHP186" s="7"/>
      <c r="IHQ186" s="7"/>
      <c r="IHR186" s="7"/>
      <c r="IHS186" s="7"/>
      <c r="IHT186" s="7"/>
      <c r="IHU186" s="7"/>
      <c r="IHV186" s="7"/>
      <c r="IHW186" s="7"/>
      <c r="IHX186" s="7"/>
      <c r="IHY186" s="7"/>
      <c r="IHZ186" s="7"/>
      <c r="IIA186" s="7"/>
      <c r="IIB186" s="7"/>
      <c r="IIC186" s="7"/>
      <c r="IID186" s="7"/>
      <c r="IIE186" s="7"/>
      <c r="IIF186" s="7"/>
      <c r="IIG186" s="7"/>
      <c r="IIH186" s="7"/>
      <c r="III186" s="7"/>
      <c r="IIJ186" s="7"/>
      <c r="IIK186" s="7"/>
      <c r="IIL186" s="7"/>
      <c r="IIM186" s="7"/>
      <c r="IIN186" s="7"/>
      <c r="IIO186" s="7"/>
      <c r="IIP186" s="7"/>
      <c r="IIQ186" s="7"/>
      <c r="IIR186" s="7"/>
      <c r="IIS186" s="7"/>
      <c r="IIT186" s="7"/>
      <c r="IIU186" s="7"/>
      <c r="IIV186" s="7"/>
      <c r="IIW186" s="7"/>
      <c r="IIX186" s="7"/>
      <c r="IIY186" s="7"/>
      <c r="IIZ186" s="7"/>
      <c r="IJA186" s="7"/>
      <c r="IJB186" s="7"/>
      <c r="IJC186" s="7"/>
      <c r="IJD186" s="7"/>
      <c r="IJE186" s="7"/>
      <c r="IJF186" s="7"/>
      <c r="IJG186" s="7"/>
      <c r="IJH186" s="7"/>
      <c r="IJI186" s="7"/>
      <c r="IJJ186" s="7"/>
      <c r="IJK186" s="7"/>
      <c r="IJL186" s="7"/>
      <c r="IJM186" s="7"/>
      <c r="IJN186" s="7"/>
      <c r="IJO186" s="7"/>
      <c r="IJP186" s="7"/>
      <c r="IJQ186" s="7"/>
      <c r="IJR186" s="7"/>
      <c r="IJS186" s="7"/>
      <c r="IJT186" s="7"/>
      <c r="IJU186" s="7"/>
      <c r="IJV186" s="7"/>
      <c r="IJW186" s="7"/>
      <c r="IJX186" s="7"/>
      <c r="IJY186" s="7"/>
      <c r="IJZ186" s="7"/>
      <c r="IKA186" s="7"/>
      <c r="IKB186" s="7"/>
      <c r="IKC186" s="7"/>
      <c r="IKD186" s="7"/>
      <c r="IKE186" s="7"/>
      <c r="IKF186" s="7"/>
      <c r="IKG186" s="7"/>
      <c r="IKH186" s="7"/>
      <c r="IKI186" s="7"/>
      <c r="IKJ186" s="7"/>
      <c r="IKK186" s="7"/>
      <c r="IKL186" s="7"/>
      <c r="IKM186" s="7"/>
      <c r="IKN186" s="7"/>
      <c r="IKO186" s="7"/>
      <c r="IKP186" s="7"/>
      <c r="IKQ186" s="7"/>
      <c r="IKR186" s="7"/>
      <c r="IKS186" s="7"/>
      <c r="IKT186" s="7"/>
      <c r="IKU186" s="7"/>
      <c r="IKV186" s="7"/>
      <c r="IKW186" s="7"/>
      <c r="IKX186" s="7"/>
      <c r="IKY186" s="7"/>
      <c r="IKZ186" s="7"/>
      <c r="ILA186" s="7"/>
      <c r="ILB186" s="7"/>
      <c r="ILC186" s="7"/>
      <c r="ILD186" s="7"/>
      <c r="ILE186" s="7"/>
      <c r="ILF186" s="7"/>
      <c r="ILG186" s="7"/>
      <c r="ILH186" s="7"/>
      <c r="ILI186" s="7"/>
      <c r="ILJ186" s="7"/>
      <c r="ILK186" s="7"/>
      <c r="ILL186" s="7"/>
      <c r="ILM186" s="7"/>
      <c r="ILN186" s="7"/>
      <c r="ILO186" s="7"/>
      <c r="ILP186" s="7"/>
      <c r="ILQ186" s="7"/>
      <c r="ILR186" s="7"/>
      <c r="ILS186" s="7"/>
      <c r="ILT186" s="7"/>
      <c r="ILU186" s="7"/>
      <c r="ILV186" s="7"/>
      <c r="ILW186" s="7"/>
      <c r="ILX186" s="7"/>
      <c r="ILY186" s="7"/>
      <c r="ILZ186" s="7"/>
      <c r="IMA186" s="7"/>
      <c r="IMB186" s="7"/>
      <c r="IMC186" s="7"/>
      <c r="IMD186" s="7"/>
      <c r="IME186" s="7"/>
      <c r="IMF186" s="7"/>
      <c r="IMG186" s="7"/>
      <c r="IMH186" s="7"/>
      <c r="IMI186" s="7"/>
      <c r="IMJ186" s="7"/>
      <c r="IMK186" s="7"/>
      <c r="IML186" s="7"/>
      <c r="IMM186" s="7"/>
      <c r="IMN186" s="7"/>
      <c r="IMO186" s="7"/>
      <c r="IMP186" s="7"/>
      <c r="IMQ186" s="7"/>
      <c r="IMR186" s="7"/>
      <c r="IMS186" s="7"/>
      <c r="IMT186" s="7"/>
      <c r="IMU186" s="7"/>
      <c r="IMV186" s="7"/>
      <c r="IMW186" s="7"/>
      <c r="IMX186" s="7"/>
      <c r="IMY186" s="7"/>
      <c r="IMZ186" s="7"/>
      <c r="INA186" s="7"/>
      <c r="INB186" s="7"/>
      <c r="INC186" s="7"/>
      <c r="IND186" s="7"/>
      <c r="INE186" s="7"/>
      <c r="INF186" s="7"/>
      <c r="ING186" s="7"/>
      <c r="INH186" s="7"/>
      <c r="INI186" s="7"/>
      <c r="INJ186" s="7"/>
      <c r="INK186" s="7"/>
      <c r="INL186" s="7"/>
      <c r="INM186" s="7"/>
      <c r="INN186" s="7"/>
      <c r="INO186" s="7"/>
      <c r="INP186" s="7"/>
      <c r="INQ186" s="7"/>
      <c r="INR186" s="7"/>
      <c r="INS186" s="7"/>
      <c r="INT186" s="7"/>
      <c r="INU186" s="7"/>
      <c r="INV186" s="7"/>
      <c r="INW186" s="7"/>
      <c r="INX186" s="7"/>
      <c r="INY186" s="7"/>
      <c r="INZ186" s="7"/>
      <c r="IOA186" s="7"/>
      <c r="IOB186" s="7"/>
      <c r="IOC186" s="7"/>
      <c r="IOD186" s="7"/>
      <c r="IOE186" s="7"/>
      <c r="IOF186" s="7"/>
      <c r="IOG186" s="7"/>
      <c r="IOH186" s="7"/>
      <c r="IOI186" s="7"/>
      <c r="IOJ186" s="7"/>
      <c r="IOK186" s="7"/>
      <c r="IOL186" s="7"/>
      <c r="IOM186" s="7"/>
      <c r="ION186" s="7"/>
      <c r="IOO186" s="7"/>
      <c r="IOP186" s="7"/>
      <c r="IOQ186" s="7"/>
      <c r="IOR186" s="7"/>
      <c r="IOS186" s="7"/>
      <c r="IOT186" s="7"/>
      <c r="IOU186" s="7"/>
      <c r="IOV186" s="7"/>
      <c r="IOW186" s="7"/>
      <c r="IOX186" s="7"/>
      <c r="IOY186" s="7"/>
      <c r="IOZ186" s="7"/>
      <c r="IPA186" s="7"/>
      <c r="IPB186" s="7"/>
      <c r="IPC186" s="7"/>
      <c r="IPD186" s="7"/>
      <c r="IPE186" s="7"/>
      <c r="IPF186" s="7"/>
      <c r="IPG186" s="7"/>
      <c r="IPH186" s="7"/>
      <c r="IPI186" s="7"/>
      <c r="IPJ186" s="7"/>
      <c r="IPK186" s="7"/>
      <c r="IPL186" s="7"/>
      <c r="IPM186" s="7"/>
      <c r="IPN186" s="7"/>
      <c r="IPO186" s="7"/>
      <c r="IPP186" s="7"/>
      <c r="IPQ186" s="7"/>
      <c r="IPR186" s="7"/>
      <c r="IPS186" s="7"/>
      <c r="IPT186" s="7"/>
      <c r="IPU186" s="7"/>
      <c r="IPV186" s="7"/>
      <c r="IPW186" s="7"/>
      <c r="IPX186" s="7"/>
      <c r="IPY186" s="7"/>
      <c r="IPZ186" s="7"/>
      <c r="IQA186" s="7"/>
      <c r="IQB186" s="7"/>
      <c r="IQC186" s="7"/>
      <c r="IQD186" s="7"/>
      <c r="IQE186" s="7"/>
      <c r="IQF186" s="7"/>
      <c r="IQG186" s="7"/>
      <c r="IQH186" s="7"/>
      <c r="IQI186" s="7"/>
      <c r="IQJ186" s="7"/>
      <c r="IQK186" s="7"/>
      <c r="IQL186" s="7"/>
      <c r="IQM186" s="7"/>
      <c r="IQN186" s="7"/>
      <c r="IQO186" s="7"/>
      <c r="IQP186" s="7"/>
      <c r="IQQ186" s="7"/>
      <c r="IQR186" s="7"/>
      <c r="IQS186" s="7"/>
      <c r="IQT186" s="7"/>
      <c r="IQU186" s="7"/>
      <c r="IQV186" s="7"/>
      <c r="IQW186" s="7"/>
      <c r="IQX186" s="7"/>
      <c r="IQY186" s="7"/>
      <c r="IQZ186" s="7"/>
      <c r="IRA186" s="7"/>
      <c r="IRB186" s="7"/>
      <c r="IRC186" s="7"/>
      <c r="IRD186" s="7"/>
      <c r="IRE186" s="7"/>
      <c r="IRF186" s="7"/>
      <c r="IRG186" s="7"/>
      <c r="IRH186" s="7"/>
      <c r="IRI186" s="7"/>
      <c r="IRJ186" s="7"/>
      <c r="IRK186" s="7"/>
      <c r="IRL186" s="7"/>
      <c r="IRM186" s="7"/>
      <c r="IRN186" s="7"/>
      <c r="IRO186" s="7"/>
      <c r="IRP186" s="7"/>
      <c r="IRQ186" s="7"/>
      <c r="IRR186" s="7"/>
      <c r="IRS186" s="7"/>
      <c r="IRT186" s="7"/>
      <c r="IRU186" s="7"/>
      <c r="IRV186" s="7"/>
      <c r="IRW186" s="7"/>
      <c r="IRX186" s="7"/>
      <c r="IRY186" s="7"/>
      <c r="IRZ186" s="7"/>
      <c r="ISA186" s="7"/>
      <c r="ISB186" s="7"/>
      <c r="ISC186" s="7"/>
      <c r="ISD186" s="7"/>
      <c r="ISE186" s="7"/>
      <c r="ISF186" s="7"/>
      <c r="ISG186" s="7"/>
      <c r="ISH186" s="7"/>
      <c r="ISI186" s="7"/>
      <c r="ISJ186" s="7"/>
      <c r="ISK186" s="7"/>
      <c r="ISL186" s="7"/>
      <c r="ISM186" s="7"/>
      <c r="ISN186" s="7"/>
      <c r="ISO186" s="7"/>
      <c r="ISP186" s="7"/>
      <c r="ISQ186" s="7"/>
      <c r="ISR186" s="7"/>
      <c r="ISS186" s="7"/>
      <c r="IST186" s="7"/>
      <c r="ISU186" s="7"/>
      <c r="ISV186" s="7"/>
      <c r="ISW186" s="7"/>
      <c r="ISX186" s="7"/>
      <c r="ISY186" s="7"/>
      <c r="ISZ186" s="7"/>
      <c r="ITA186" s="7"/>
      <c r="ITB186" s="7"/>
      <c r="ITC186" s="7"/>
      <c r="ITD186" s="7"/>
      <c r="ITE186" s="7"/>
      <c r="ITF186" s="7"/>
      <c r="ITG186" s="7"/>
      <c r="ITH186" s="7"/>
      <c r="ITI186" s="7"/>
      <c r="ITJ186" s="7"/>
      <c r="ITK186" s="7"/>
      <c r="ITL186" s="7"/>
      <c r="ITM186" s="7"/>
      <c r="ITN186" s="7"/>
      <c r="ITO186" s="7"/>
      <c r="ITP186" s="7"/>
      <c r="ITQ186" s="7"/>
      <c r="ITR186" s="7"/>
      <c r="ITS186" s="7"/>
      <c r="ITT186" s="7"/>
      <c r="ITU186" s="7"/>
      <c r="ITV186" s="7"/>
      <c r="ITW186" s="7"/>
      <c r="ITX186" s="7"/>
      <c r="ITY186" s="7"/>
      <c r="ITZ186" s="7"/>
      <c r="IUA186" s="7"/>
      <c r="IUB186" s="7"/>
      <c r="IUC186" s="7"/>
      <c r="IUD186" s="7"/>
      <c r="IUE186" s="7"/>
      <c r="IUF186" s="7"/>
      <c r="IUG186" s="7"/>
      <c r="IUH186" s="7"/>
      <c r="IUI186" s="7"/>
      <c r="IUJ186" s="7"/>
      <c r="IUK186" s="7"/>
      <c r="IUL186" s="7"/>
      <c r="IUM186" s="7"/>
      <c r="IUN186" s="7"/>
      <c r="IUO186" s="7"/>
      <c r="IUP186" s="7"/>
      <c r="IUQ186" s="7"/>
      <c r="IUR186" s="7"/>
      <c r="IUS186" s="7"/>
      <c r="IUT186" s="7"/>
      <c r="IUU186" s="7"/>
      <c r="IUV186" s="7"/>
      <c r="IUW186" s="7"/>
      <c r="IUX186" s="7"/>
      <c r="IUY186" s="7"/>
      <c r="IUZ186" s="7"/>
      <c r="IVA186" s="7"/>
      <c r="IVB186" s="7"/>
      <c r="IVC186" s="7"/>
      <c r="IVD186" s="7"/>
      <c r="IVE186" s="7"/>
      <c r="IVF186" s="7"/>
      <c r="IVG186" s="7"/>
      <c r="IVH186" s="7"/>
      <c r="IVI186" s="7"/>
      <c r="IVJ186" s="7"/>
      <c r="IVK186" s="7"/>
      <c r="IVL186" s="7"/>
      <c r="IVM186" s="7"/>
      <c r="IVN186" s="7"/>
      <c r="IVO186" s="7"/>
      <c r="IVP186" s="7"/>
      <c r="IVQ186" s="7"/>
      <c r="IVR186" s="7"/>
      <c r="IVS186" s="7"/>
      <c r="IVT186" s="7"/>
      <c r="IVU186" s="7"/>
      <c r="IVV186" s="7"/>
      <c r="IVW186" s="7"/>
      <c r="IVX186" s="7"/>
      <c r="IVY186" s="7"/>
      <c r="IVZ186" s="7"/>
      <c r="IWA186" s="7"/>
      <c r="IWB186" s="7"/>
      <c r="IWC186" s="7"/>
      <c r="IWD186" s="7"/>
      <c r="IWE186" s="7"/>
      <c r="IWF186" s="7"/>
      <c r="IWG186" s="7"/>
      <c r="IWH186" s="7"/>
      <c r="IWI186" s="7"/>
      <c r="IWJ186" s="7"/>
      <c r="IWK186" s="7"/>
      <c r="IWL186" s="7"/>
      <c r="IWM186" s="7"/>
      <c r="IWN186" s="7"/>
      <c r="IWO186" s="7"/>
      <c r="IWP186" s="7"/>
      <c r="IWQ186" s="7"/>
      <c r="IWR186" s="7"/>
      <c r="IWS186" s="7"/>
      <c r="IWT186" s="7"/>
      <c r="IWU186" s="7"/>
      <c r="IWV186" s="7"/>
      <c r="IWW186" s="7"/>
      <c r="IWX186" s="7"/>
      <c r="IWY186" s="7"/>
      <c r="IWZ186" s="7"/>
      <c r="IXA186" s="7"/>
      <c r="IXB186" s="7"/>
      <c r="IXC186" s="7"/>
      <c r="IXD186" s="7"/>
      <c r="IXE186" s="7"/>
      <c r="IXF186" s="7"/>
      <c r="IXG186" s="7"/>
      <c r="IXH186" s="7"/>
      <c r="IXI186" s="7"/>
      <c r="IXJ186" s="7"/>
      <c r="IXK186" s="7"/>
      <c r="IXL186" s="7"/>
      <c r="IXM186" s="7"/>
      <c r="IXN186" s="7"/>
      <c r="IXO186" s="7"/>
      <c r="IXP186" s="7"/>
      <c r="IXQ186" s="7"/>
      <c r="IXR186" s="7"/>
      <c r="IXS186" s="7"/>
      <c r="IXT186" s="7"/>
      <c r="IXU186" s="7"/>
      <c r="IXV186" s="7"/>
      <c r="IXW186" s="7"/>
      <c r="IXX186" s="7"/>
      <c r="IXY186" s="7"/>
      <c r="IXZ186" s="7"/>
      <c r="IYA186" s="7"/>
      <c r="IYB186" s="7"/>
      <c r="IYC186" s="7"/>
      <c r="IYD186" s="7"/>
      <c r="IYE186" s="7"/>
      <c r="IYF186" s="7"/>
      <c r="IYG186" s="7"/>
      <c r="IYH186" s="7"/>
      <c r="IYI186" s="7"/>
      <c r="IYJ186" s="7"/>
      <c r="IYK186" s="7"/>
      <c r="IYL186" s="7"/>
      <c r="IYM186" s="7"/>
      <c r="IYN186" s="7"/>
      <c r="IYO186" s="7"/>
      <c r="IYP186" s="7"/>
      <c r="IYQ186" s="7"/>
      <c r="IYR186" s="7"/>
      <c r="IYS186" s="7"/>
      <c r="IYT186" s="7"/>
      <c r="IYU186" s="7"/>
      <c r="IYV186" s="7"/>
      <c r="IYW186" s="7"/>
      <c r="IYX186" s="7"/>
      <c r="IYY186" s="7"/>
      <c r="IYZ186" s="7"/>
      <c r="IZA186" s="7"/>
      <c r="IZB186" s="7"/>
      <c r="IZC186" s="7"/>
      <c r="IZD186" s="7"/>
      <c r="IZE186" s="7"/>
      <c r="IZF186" s="7"/>
      <c r="IZG186" s="7"/>
      <c r="IZH186" s="7"/>
      <c r="IZI186" s="7"/>
      <c r="IZJ186" s="7"/>
      <c r="IZK186" s="7"/>
      <c r="IZL186" s="7"/>
      <c r="IZM186" s="7"/>
      <c r="IZN186" s="7"/>
      <c r="IZO186" s="7"/>
      <c r="IZP186" s="7"/>
      <c r="IZQ186" s="7"/>
      <c r="IZR186" s="7"/>
      <c r="IZS186" s="7"/>
      <c r="IZT186" s="7"/>
      <c r="IZU186" s="7"/>
      <c r="IZV186" s="7"/>
      <c r="IZW186" s="7"/>
      <c r="IZX186" s="7"/>
      <c r="IZY186" s="7"/>
      <c r="IZZ186" s="7"/>
      <c r="JAA186" s="7"/>
      <c r="JAB186" s="7"/>
      <c r="JAC186" s="7"/>
      <c r="JAD186" s="7"/>
      <c r="JAE186" s="7"/>
      <c r="JAF186" s="7"/>
      <c r="JAG186" s="7"/>
      <c r="JAH186" s="7"/>
      <c r="JAI186" s="7"/>
      <c r="JAJ186" s="7"/>
      <c r="JAK186" s="7"/>
      <c r="JAL186" s="7"/>
      <c r="JAM186" s="7"/>
      <c r="JAN186" s="7"/>
      <c r="JAO186" s="7"/>
      <c r="JAP186" s="7"/>
      <c r="JAQ186" s="7"/>
      <c r="JAR186" s="7"/>
      <c r="JAS186" s="7"/>
      <c r="JAT186" s="7"/>
      <c r="JAU186" s="7"/>
      <c r="JAV186" s="7"/>
      <c r="JAW186" s="7"/>
      <c r="JAX186" s="7"/>
      <c r="JAY186" s="7"/>
      <c r="JAZ186" s="7"/>
      <c r="JBA186" s="7"/>
      <c r="JBB186" s="7"/>
      <c r="JBC186" s="7"/>
      <c r="JBD186" s="7"/>
      <c r="JBE186" s="7"/>
      <c r="JBF186" s="7"/>
      <c r="JBG186" s="7"/>
      <c r="JBH186" s="7"/>
      <c r="JBI186" s="7"/>
      <c r="JBJ186" s="7"/>
      <c r="JBK186" s="7"/>
      <c r="JBL186" s="7"/>
      <c r="JBM186" s="7"/>
      <c r="JBN186" s="7"/>
      <c r="JBO186" s="7"/>
      <c r="JBP186" s="7"/>
      <c r="JBQ186" s="7"/>
      <c r="JBR186" s="7"/>
      <c r="JBS186" s="7"/>
      <c r="JBT186" s="7"/>
      <c r="JBU186" s="7"/>
      <c r="JBV186" s="7"/>
      <c r="JBW186" s="7"/>
      <c r="JBX186" s="7"/>
      <c r="JBY186" s="7"/>
      <c r="JBZ186" s="7"/>
      <c r="JCA186" s="7"/>
      <c r="JCB186" s="7"/>
      <c r="JCC186" s="7"/>
      <c r="JCD186" s="7"/>
      <c r="JCE186" s="7"/>
      <c r="JCF186" s="7"/>
      <c r="JCG186" s="7"/>
      <c r="JCH186" s="7"/>
      <c r="JCI186" s="7"/>
      <c r="JCJ186" s="7"/>
      <c r="JCK186" s="7"/>
      <c r="JCL186" s="7"/>
      <c r="JCM186" s="7"/>
      <c r="JCN186" s="7"/>
      <c r="JCO186" s="7"/>
      <c r="JCP186" s="7"/>
      <c r="JCQ186" s="7"/>
      <c r="JCR186" s="7"/>
      <c r="JCS186" s="7"/>
      <c r="JCT186" s="7"/>
      <c r="JCU186" s="7"/>
      <c r="JCV186" s="7"/>
      <c r="JCW186" s="7"/>
      <c r="JCX186" s="7"/>
      <c r="JCY186" s="7"/>
      <c r="JCZ186" s="7"/>
      <c r="JDA186" s="7"/>
      <c r="JDB186" s="7"/>
      <c r="JDC186" s="7"/>
      <c r="JDD186" s="7"/>
      <c r="JDE186" s="7"/>
      <c r="JDF186" s="7"/>
      <c r="JDG186" s="7"/>
      <c r="JDH186" s="7"/>
      <c r="JDI186" s="7"/>
      <c r="JDJ186" s="7"/>
      <c r="JDK186" s="7"/>
      <c r="JDL186" s="7"/>
      <c r="JDM186" s="7"/>
      <c r="JDN186" s="7"/>
      <c r="JDO186" s="7"/>
      <c r="JDP186" s="7"/>
      <c r="JDQ186" s="7"/>
      <c r="JDR186" s="7"/>
      <c r="JDS186" s="7"/>
      <c r="JDT186" s="7"/>
      <c r="JDU186" s="7"/>
      <c r="JDV186" s="7"/>
      <c r="JDW186" s="7"/>
      <c r="JDX186" s="7"/>
      <c r="JDY186" s="7"/>
      <c r="JDZ186" s="7"/>
      <c r="JEA186" s="7"/>
      <c r="JEB186" s="7"/>
      <c r="JEC186" s="7"/>
      <c r="JED186" s="7"/>
      <c r="JEE186" s="7"/>
      <c r="JEF186" s="7"/>
      <c r="JEG186" s="7"/>
      <c r="JEH186" s="7"/>
      <c r="JEI186" s="7"/>
      <c r="JEJ186" s="7"/>
      <c r="JEK186" s="7"/>
      <c r="JEL186" s="7"/>
      <c r="JEM186" s="7"/>
      <c r="JEN186" s="7"/>
      <c r="JEO186" s="7"/>
      <c r="JEP186" s="7"/>
      <c r="JEQ186" s="7"/>
      <c r="JER186" s="7"/>
      <c r="JES186" s="7"/>
      <c r="JET186" s="7"/>
      <c r="JEU186" s="7"/>
      <c r="JEV186" s="7"/>
      <c r="JEW186" s="7"/>
      <c r="JEX186" s="7"/>
      <c r="JEY186" s="7"/>
      <c r="JEZ186" s="7"/>
      <c r="JFA186" s="7"/>
      <c r="JFB186" s="7"/>
      <c r="JFC186" s="7"/>
      <c r="JFD186" s="7"/>
      <c r="JFE186" s="7"/>
      <c r="JFF186" s="7"/>
      <c r="JFG186" s="7"/>
      <c r="JFH186" s="7"/>
      <c r="JFI186" s="7"/>
      <c r="JFJ186" s="7"/>
      <c r="JFK186" s="7"/>
      <c r="JFL186" s="7"/>
      <c r="JFM186" s="7"/>
      <c r="JFN186" s="7"/>
      <c r="JFO186" s="7"/>
      <c r="JFP186" s="7"/>
      <c r="JFQ186" s="7"/>
      <c r="JFR186" s="7"/>
      <c r="JFS186" s="7"/>
      <c r="JFT186" s="7"/>
      <c r="JFU186" s="7"/>
      <c r="JFV186" s="7"/>
      <c r="JFW186" s="7"/>
      <c r="JFX186" s="7"/>
      <c r="JFY186" s="7"/>
      <c r="JFZ186" s="7"/>
      <c r="JGA186" s="7"/>
      <c r="JGB186" s="7"/>
      <c r="JGC186" s="7"/>
      <c r="JGD186" s="7"/>
      <c r="JGE186" s="7"/>
      <c r="JGF186" s="7"/>
      <c r="JGG186" s="7"/>
      <c r="JGH186" s="7"/>
      <c r="JGI186" s="7"/>
      <c r="JGJ186" s="7"/>
      <c r="JGK186" s="7"/>
      <c r="JGL186" s="7"/>
      <c r="JGM186" s="7"/>
      <c r="JGN186" s="7"/>
      <c r="JGO186" s="7"/>
      <c r="JGP186" s="7"/>
      <c r="JGQ186" s="7"/>
      <c r="JGR186" s="7"/>
      <c r="JGS186" s="7"/>
      <c r="JGT186" s="7"/>
      <c r="JGU186" s="7"/>
      <c r="JGV186" s="7"/>
      <c r="JGW186" s="7"/>
      <c r="JGX186" s="7"/>
      <c r="JGY186" s="7"/>
      <c r="JGZ186" s="7"/>
      <c r="JHA186" s="7"/>
      <c r="JHB186" s="7"/>
      <c r="JHC186" s="7"/>
      <c r="JHD186" s="7"/>
      <c r="JHE186" s="7"/>
      <c r="JHF186" s="7"/>
      <c r="JHG186" s="7"/>
      <c r="JHH186" s="7"/>
      <c r="JHI186" s="7"/>
      <c r="JHJ186" s="7"/>
      <c r="JHK186" s="7"/>
      <c r="JHL186" s="7"/>
      <c r="JHM186" s="7"/>
      <c r="JHN186" s="7"/>
      <c r="JHO186" s="7"/>
      <c r="JHP186" s="7"/>
      <c r="JHQ186" s="7"/>
      <c r="JHR186" s="7"/>
      <c r="JHS186" s="7"/>
      <c r="JHT186" s="7"/>
      <c r="JHU186" s="7"/>
      <c r="JHV186" s="7"/>
      <c r="JHW186" s="7"/>
      <c r="JHX186" s="7"/>
      <c r="JHY186" s="7"/>
      <c r="JHZ186" s="7"/>
      <c r="JIA186" s="7"/>
      <c r="JIB186" s="7"/>
      <c r="JIC186" s="7"/>
      <c r="JID186" s="7"/>
      <c r="JIE186" s="7"/>
      <c r="JIF186" s="7"/>
      <c r="JIG186" s="7"/>
      <c r="JIH186" s="7"/>
      <c r="JII186" s="7"/>
      <c r="JIJ186" s="7"/>
      <c r="JIK186" s="7"/>
      <c r="JIL186" s="7"/>
      <c r="JIM186" s="7"/>
      <c r="JIN186" s="7"/>
      <c r="JIO186" s="7"/>
      <c r="JIP186" s="7"/>
      <c r="JIQ186" s="7"/>
      <c r="JIR186" s="7"/>
      <c r="JIS186" s="7"/>
      <c r="JIT186" s="7"/>
      <c r="JIU186" s="7"/>
      <c r="JIV186" s="7"/>
      <c r="JIW186" s="7"/>
      <c r="JIX186" s="7"/>
      <c r="JIY186" s="7"/>
      <c r="JIZ186" s="7"/>
      <c r="JJA186" s="7"/>
      <c r="JJB186" s="7"/>
      <c r="JJC186" s="7"/>
      <c r="JJD186" s="7"/>
      <c r="JJE186" s="7"/>
      <c r="JJF186" s="7"/>
      <c r="JJG186" s="7"/>
      <c r="JJH186" s="7"/>
      <c r="JJI186" s="7"/>
      <c r="JJJ186" s="7"/>
      <c r="JJK186" s="7"/>
      <c r="JJL186" s="7"/>
      <c r="JJM186" s="7"/>
      <c r="JJN186" s="7"/>
      <c r="JJO186" s="7"/>
      <c r="JJP186" s="7"/>
      <c r="JJQ186" s="7"/>
      <c r="JJR186" s="7"/>
      <c r="JJS186" s="7"/>
      <c r="JJT186" s="7"/>
      <c r="JJU186" s="7"/>
      <c r="JJV186" s="7"/>
      <c r="JJW186" s="7"/>
      <c r="JJX186" s="7"/>
      <c r="JJY186" s="7"/>
      <c r="JJZ186" s="7"/>
      <c r="JKA186" s="7"/>
      <c r="JKB186" s="7"/>
      <c r="JKC186" s="7"/>
      <c r="JKD186" s="7"/>
      <c r="JKE186" s="7"/>
      <c r="JKF186" s="7"/>
      <c r="JKG186" s="7"/>
      <c r="JKH186" s="7"/>
      <c r="JKI186" s="7"/>
      <c r="JKJ186" s="7"/>
      <c r="JKK186" s="7"/>
      <c r="JKL186" s="7"/>
      <c r="JKM186" s="7"/>
      <c r="JKN186" s="7"/>
      <c r="JKO186" s="7"/>
      <c r="JKP186" s="7"/>
      <c r="JKQ186" s="7"/>
      <c r="JKR186" s="7"/>
      <c r="JKS186" s="7"/>
      <c r="JKT186" s="7"/>
      <c r="JKU186" s="7"/>
      <c r="JKV186" s="7"/>
      <c r="JKW186" s="7"/>
      <c r="JKX186" s="7"/>
      <c r="JKY186" s="7"/>
      <c r="JKZ186" s="7"/>
      <c r="JLA186" s="7"/>
      <c r="JLB186" s="7"/>
      <c r="JLC186" s="7"/>
      <c r="JLD186" s="7"/>
      <c r="JLE186" s="7"/>
      <c r="JLF186" s="7"/>
      <c r="JLG186" s="7"/>
      <c r="JLH186" s="7"/>
      <c r="JLI186" s="7"/>
      <c r="JLJ186" s="7"/>
      <c r="JLK186" s="7"/>
      <c r="JLL186" s="7"/>
      <c r="JLM186" s="7"/>
      <c r="JLN186" s="7"/>
      <c r="JLO186" s="7"/>
      <c r="JLP186" s="7"/>
      <c r="JLQ186" s="7"/>
      <c r="JLR186" s="7"/>
      <c r="JLS186" s="7"/>
      <c r="JLT186" s="7"/>
      <c r="JLU186" s="7"/>
      <c r="JLV186" s="7"/>
      <c r="JLW186" s="7"/>
      <c r="JLX186" s="7"/>
      <c r="JLY186" s="7"/>
      <c r="JLZ186" s="7"/>
      <c r="JMA186" s="7"/>
      <c r="JMB186" s="7"/>
      <c r="JMC186" s="7"/>
      <c r="JMD186" s="7"/>
      <c r="JME186" s="7"/>
      <c r="JMF186" s="7"/>
      <c r="JMG186" s="7"/>
      <c r="JMH186" s="7"/>
      <c r="JMI186" s="7"/>
      <c r="JMJ186" s="7"/>
      <c r="JMK186" s="7"/>
      <c r="JML186" s="7"/>
      <c r="JMM186" s="7"/>
      <c r="JMN186" s="7"/>
      <c r="JMO186" s="7"/>
      <c r="JMP186" s="7"/>
      <c r="JMQ186" s="7"/>
      <c r="JMR186" s="7"/>
      <c r="JMS186" s="7"/>
      <c r="JMT186" s="7"/>
      <c r="JMU186" s="7"/>
      <c r="JMV186" s="7"/>
      <c r="JMW186" s="7"/>
      <c r="JMX186" s="7"/>
      <c r="JMY186" s="7"/>
      <c r="JMZ186" s="7"/>
      <c r="JNA186" s="7"/>
      <c r="JNB186" s="7"/>
      <c r="JNC186" s="7"/>
      <c r="JND186" s="7"/>
      <c r="JNE186" s="7"/>
      <c r="JNF186" s="7"/>
      <c r="JNG186" s="7"/>
      <c r="JNH186" s="7"/>
      <c r="JNI186" s="7"/>
      <c r="JNJ186" s="7"/>
      <c r="JNK186" s="7"/>
      <c r="JNL186" s="7"/>
      <c r="JNM186" s="7"/>
      <c r="JNN186" s="7"/>
      <c r="JNO186" s="7"/>
      <c r="JNP186" s="7"/>
      <c r="JNQ186" s="7"/>
      <c r="JNR186" s="7"/>
      <c r="JNS186" s="7"/>
      <c r="JNT186" s="7"/>
      <c r="JNU186" s="7"/>
      <c r="JNV186" s="7"/>
      <c r="JNW186" s="7"/>
      <c r="JNX186" s="7"/>
      <c r="JNY186" s="7"/>
      <c r="JNZ186" s="7"/>
      <c r="JOA186" s="7"/>
      <c r="JOB186" s="7"/>
      <c r="JOC186" s="7"/>
      <c r="JOD186" s="7"/>
      <c r="JOE186" s="7"/>
      <c r="JOF186" s="7"/>
      <c r="JOG186" s="7"/>
      <c r="JOH186" s="7"/>
      <c r="JOI186" s="7"/>
      <c r="JOJ186" s="7"/>
      <c r="JOK186" s="7"/>
      <c r="JOL186" s="7"/>
      <c r="JOM186" s="7"/>
      <c r="JON186" s="7"/>
      <c r="JOO186" s="7"/>
      <c r="JOP186" s="7"/>
      <c r="JOQ186" s="7"/>
      <c r="JOR186" s="7"/>
      <c r="JOS186" s="7"/>
      <c r="JOT186" s="7"/>
      <c r="JOU186" s="7"/>
      <c r="JOV186" s="7"/>
      <c r="JOW186" s="7"/>
      <c r="JOX186" s="7"/>
      <c r="JOY186" s="7"/>
      <c r="JOZ186" s="7"/>
      <c r="JPA186" s="7"/>
      <c r="JPB186" s="7"/>
      <c r="JPC186" s="7"/>
      <c r="JPD186" s="7"/>
      <c r="JPE186" s="7"/>
      <c r="JPF186" s="7"/>
      <c r="JPG186" s="7"/>
      <c r="JPH186" s="7"/>
      <c r="JPI186" s="7"/>
      <c r="JPJ186" s="7"/>
      <c r="JPK186" s="7"/>
      <c r="JPL186" s="7"/>
      <c r="JPM186" s="7"/>
      <c r="JPN186" s="7"/>
      <c r="JPO186" s="7"/>
      <c r="JPP186" s="7"/>
      <c r="JPQ186" s="7"/>
      <c r="JPR186" s="7"/>
      <c r="JPS186" s="7"/>
      <c r="JPT186" s="7"/>
      <c r="JPU186" s="7"/>
      <c r="JPV186" s="7"/>
      <c r="JPW186" s="7"/>
      <c r="JPX186" s="7"/>
      <c r="JPY186" s="7"/>
      <c r="JPZ186" s="7"/>
      <c r="JQA186" s="7"/>
      <c r="JQB186" s="7"/>
      <c r="JQC186" s="7"/>
      <c r="JQD186" s="7"/>
      <c r="JQE186" s="7"/>
      <c r="JQF186" s="7"/>
      <c r="JQG186" s="7"/>
      <c r="JQH186" s="7"/>
      <c r="JQI186" s="7"/>
      <c r="JQJ186" s="7"/>
      <c r="JQK186" s="7"/>
      <c r="JQL186" s="7"/>
      <c r="JQM186" s="7"/>
      <c r="JQN186" s="7"/>
      <c r="JQO186" s="7"/>
      <c r="JQP186" s="7"/>
      <c r="JQQ186" s="7"/>
      <c r="JQR186" s="7"/>
      <c r="JQS186" s="7"/>
      <c r="JQT186" s="7"/>
      <c r="JQU186" s="7"/>
      <c r="JQV186" s="7"/>
      <c r="JQW186" s="7"/>
      <c r="JQX186" s="7"/>
      <c r="JQY186" s="7"/>
      <c r="JQZ186" s="7"/>
      <c r="JRA186" s="7"/>
      <c r="JRB186" s="7"/>
      <c r="JRC186" s="7"/>
      <c r="JRD186" s="7"/>
      <c r="JRE186" s="7"/>
      <c r="JRF186" s="7"/>
      <c r="JRG186" s="7"/>
      <c r="JRH186" s="7"/>
      <c r="JRI186" s="7"/>
      <c r="JRJ186" s="7"/>
      <c r="JRK186" s="7"/>
      <c r="JRL186" s="7"/>
      <c r="JRM186" s="7"/>
      <c r="JRN186" s="7"/>
      <c r="JRO186" s="7"/>
      <c r="JRP186" s="7"/>
      <c r="JRQ186" s="7"/>
      <c r="JRR186" s="7"/>
      <c r="JRS186" s="7"/>
      <c r="JRT186" s="7"/>
      <c r="JRU186" s="7"/>
      <c r="JRV186" s="7"/>
      <c r="JRW186" s="7"/>
      <c r="JRX186" s="7"/>
      <c r="JRY186" s="7"/>
      <c r="JRZ186" s="7"/>
      <c r="JSA186" s="7"/>
      <c r="JSB186" s="7"/>
      <c r="JSC186" s="7"/>
      <c r="JSD186" s="7"/>
      <c r="JSE186" s="7"/>
      <c r="JSF186" s="7"/>
      <c r="JSG186" s="7"/>
      <c r="JSH186" s="7"/>
      <c r="JSI186" s="7"/>
      <c r="JSJ186" s="7"/>
      <c r="JSK186" s="7"/>
      <c r="JSL186" s="7"/>
      <c r="JSM186" s="7"/>
      <c r="JSN186" s="7"/>
      <c r="JSO186" s="7"/>
      <c r="JSP186" s="7"/>
      <c r="JSQ186" s="7"/>
      <c r="JSR186" s="7"/>
      <c r="JSS186" s="7"/>
      <c r="JST186" s="7"/>
      <c r="JSU186" s="7"/>
      <c r="JSV186" s="7"/>
      <c r="JSW186" s="7"/>
      <c r="JSX186" s="7"/>
      <c r="JSY186" s="7"/>
      <c r="JSZ186" s="7"/>
      <c r="JTA186" s="7"/>
      <c r="JTB186" s="7"/>
      <c r="JTC186" s="7"/>
      <c r="JTD186" s="7"/>
      <c r="JTE186" s="7"/>
      <c r="JTF186" s="7"/>
      <c r="JTG186" s="7"/>
      <c r="JTH186" s="7"/>
      <c r="JTI186" s="7"/>
      <c r="JTJ186" s="7"/>
      <c r="JTK186" s="7"/>
      <c r="JTL186" s="7"/>
      <c r="JTM186" s="7"/>
      <c r="JTN186" s="7"/>
      <c r="JTO186" s="7"/>
      <c r="JTP186" s="7"/>
      <c r="JTQ186" s="7"/>
      <c r="JTR186" s="7"/>
      <c r="JTS186" s="7"/>
      <c r="JTT186" s="7"/>
      <c r="JTU186" s="7"/>
      <c r="JTV186" s="7"/>
      <c r="JTW186" s="7"/>
      <c r="JTX186" s="7"/>
      <c r="JTY186" s="7"/>
      <c r="JTZ186" s="7"/>
      <c r="JUA186" s="7"/>
      <c r="JUB186" s="7"/>
      <c r="JUC186" s="7"/>
      <c r="JUD186" s="7"/>
      <c r="JUE186" s="7"/>
      <c r="JUF186" s="7"/>
      <c r="JUG186" s="7"/>
      <c r="JUH186" s="7"/>
      <c r="JUI186" s="7"/>
      <c r="JUJ186" s="7"/>
      <c r="JUK186" s="7"/>
      <c r="JUL186" s="7"/>
      <c r="JUM186" s="7"/>
      <c r="JUN186" s="7"/>
      <c r="JUO186" s="7"/>
      <c r="JUP186" s="7"/>
      <c r="JUQ186" s="7"/>
      <c r="JUR186" s="7"/>
      <c r="JUS186" s="7"/>
      <c r="JUT186" s="7"/>
      <c r="JUU186" s="7"/>
      <c r="JUV186" s="7"/>
      <c r="JUW186" s="7"/>
      <c r="JUX186" s="7"/>
      <c r="JUY186" s="7"/>
      <c r="JUZ186" s="7"/>
      <c r="JVA186" s="7"/>
      <c r="JVB186" s="7"/>
      <c r="JVC186" s="7"/>
      <c r="JVD186" s="7"/>
      <c r="JVE186" s="7"/>
      <c r="JVF186" s="7"/>
      <c r="JVG186" s="7"/>
      <c r="JVH186" s="7"/>
      <c r="JVI186" s="7"/>
      <c r="JVJ186" s="7"/>
      <c r="JVK186" s="7"/>
      <c r="JVL186" s="7"/>
      <c r="JVM186" s="7"/>
      <c r="JVN186" s="7"/>
      <c r="JVO186" s="7"/>
      <c r="JVP186" s="7"/>
      <c r="JVQ186" s="7"/>
      <c r="JVR186" s="7"/>
      <c r="JVS186" s="7"/>
      <c r="JVT186" s="7"/>
      <c r="JVU186" s="7"/>
      <c r="JVV186" s="7"/>
      <c r="JVW186" s="7"/>
      <c r="JVX186" s="7"/>
      <c r="JVY186" s="7"/>
      <c r="JVZ186" s="7"/>
      <c r="JWA186" s="7"/>
      <c r="JWB186" s="7"/>
      <c r="JWC186" s="7"/>
      <c r="JWD186" s="7"/>
      <c r="JWE186" s="7"/>
      <c r="JWF186" s="7"/>
      <c r="JWG186" s="7"/>
      <c r="JWH186" s="7"/>
      <c r="JWI186" s="7"/>
      <c r="JWJ186" s="7"/>
      <c r="JWK186" s="7"/>
      <c r="JWL186" s="7"/>
      <c r="JWM186" s="7"/>
      <c r="JWN186" s="7"/>
      <c r="JWO186" s="7"/>
      <c r="JWP186" s="7"/>
      <c r="JWQ186" s="7"/>
      <c r="JWR186" s="7"/>
      <c r="JWS186" s="7"/>
      <c r="JWT186" s="7"/>
      <c r="JWU186" s="7"/>
      <c r="JWV186" s="7"/>
      <c r="JWW186" s="7"/>
      <c r="JWX186" s="7"/>
      <c r="JWY186" s="7"/>
      <c r="JWZ186" s="7"/>
      <c r="JXA186" s="7"/>
      <c r="JXB186" s="7"/>
      <c r="JXC186" s="7"/>
      <c r="JXD186" s="7"/>
      <c r="JXE186" s="7"/>
      <c r="JXF186" s="7"/>
      <c r="JXG186" s="7"/>
      <c r="JXH186" s="7"/>
      <c r="JXI186" s="7"/>
      <c r="JXJ186" s="7"/>
      <c r="JXK186" s="7"/>
      <c r="JXL186" s="7"/>
      <c r="JXM186" s="7"/>
      <c r="JXN186" s="7"/>
      <c r="JXO186" s="7"/>
      <c r="JXP186" s="7"/>
      <c r="JXQ186" s="7"/>
      <c r="JXR186" s="7"/>
      <c r="JXS186" s="7"/>
      <c r="JXT186" s="7"/>
      <c r="JXU186" s="7"/>
      <c r="JXV186" s="7"/>
      <c r="JXW186" s="7"/>
      <c r="JXX186" s="7"/>
      <c r="JXY186" s="7"/>
      <c r="JXZ186" s="7"/>
      <c r="JYA186" s="7"/>
      <c r="JYB186" s="7"/>
      <c r="JYC186" s="7"/>
      <c r="JYD186" s="7"/>
      <c r="JYE186" s="7"/>
      <c r="JYF186" s="7"/>
      <c r="JYG186" s="7"/>
      <c r="JYH186" s="7"/>
      <c r="JYI186" s="7"/>
      <c r="JYJ186" s="7"/>
      <c r="JYK186" s="7"/>
      <c r="JYL186" s="7"/>
      <c r="JYM186" s="7"/>
      <c r="JYN186" s="7"/>
      <c r="JYO186" s="7"/>
      <c r="JYP186" s="7"/>
      <c r="JYQ186" s="7"/>
      <c r="JYR186" s="7"/>
      <c r="JYS186" s="7"/>
      <c r="JYT186" s="7"/>
      <c r="JYU186" s="7"/>
      <c r="JYV186" s="7"/>
      <c r="JYW186" s="7"/>
      <c r="JYX186" s="7"/>
      <c r="JYY186" s="7"/>
      <c r="JYZ186" s="7"/>
      <c r="JZA186" s="7"/>
      <c r="JZB186" s="7"/>
      <c r="JZC186" s="7"/>
      <c r="JZD186" s="7"/>
      <c r="JZE186" s="7"/>
      <c r="JZF186" s="7"/>
      <c r="JZG186" s="7"/>
      <c r="JZH186" s="7"/>
      <c r="JZI186" s="7"/>
      <c r="JZJ186" s="7"/>
      <c r="JZK186" s="7"/>
      <c r="JZL186" s="7"/>
      <c r="JZM186" s="7"/>
      <c r="JZN186" s="7"/>
      <c r="JZO186" s="7"/>
      <c r="JZP186" s="7"/>
      <c r="JZQ186" s="7"/>
      <c r="JZR186" s="7"/>
      <c r="JZS186" s="7"/>
      <c r="JZT186" s="7"/>
      <c r="JZU186" s="7"/>
      <c r="JZV186" s="7"/>
      <c r="JZW186" s="7"/>
      <c r="JZX186" s="7"/>
      <c r="JZY186" s="7"/>
      <c r="JZZ186" s="7"/>
      <c r="KAA186" s="7"/>
      <c r="KAB186" s="7"/>
      <c r="KAC186" s="7"/>
      <c r="KAD186" s="7"/>
      <c r="KAE186" s="7"/>
      <c r="KAF186" s="7"/>
      <c r="KAG186" s="7"/>
      <c r="KAH186" s="7"/>
      <c r="KAI186" s="7"/>
      <c r="KAJ186" s="7"/>
      <c r="KAK186" s="7"/>
      <c r="KAL186" s="7"/>
      <c r="KAM186" s="7"/>
      <c r="KAN186" s="7"/>
      <c r="KAO186" s="7"/>
      <c r="KAP186" s="7"/>
      <c r="KAQ186" s="7"/>
      <c r="KAR186" s="7"/>
      <c r="KAS186" s="7"/>
      <c r="KAT186" s="7"/>
      <c r="KAU186" s="7"/>
      <c r="KAV186" s="7"/>
      <c r="KAW186" s="7"/>
      <c r="KAX186" s="7"/>
      <c r="KAY186" s="7"/>
      <c r="KAZ186" s="7"/>
      <c r="KBA186" s="7"/>
      <c r="KBB186" s="7"/>
      <c r="KBC186" s="7"/>
      <c r="KBD186" s="7"/>
      <c r="KBE186" s="7"/>
      <c r="KBF186" s="7"/>
      <c r="KBG186" s="7"/>
      <c r="KBH186" s="7"/>
      <c r="KBI186" s="7"/>
      <c r="KBJ186" s="7"/>
      <c r="KBK186" s="7"/>
      <c r="KBL186" s="7"/>
      <c r="KBM186" s="7"/>
      <c r="KBN186" s="7"/>
      <c r="KBO186" s="7"/>
      <c r="KBP186" s="7"/>
      <c r="KBQ186" s="7"/>
      <c r="KBR186" s="7"/>
      <c r="KBS186" s="7"/>
      <c r="KBT186" s="7"/>
      <c r="KBU186" s="7"/>
      <c r="KBV186" s="7"/>
      <c r="KBW186" s="7"/>
      <c r="KBX186" s="7"/>
      <c r="KBY186" s="7"/>
      <c r="KBZ186" s="7"/>
      <c r="KCA186" s="7"/>
      <c r="KCB186" s="7"/>
      <c r="KCC186" s="7"/>
      <c r="KCD186" s="7"/>
      <c r="KCE186" s="7"/>
      <c r="KCF186" s="7"/>
      <c r="KCG186" s="7"/>
      <c r="KCH186" s="7"/>
      <c r="KCI186" s="7"/>
      <c r="KCJ186" s="7"/>
      <c r="KCK186" s="7"/>
      <c r="KCL186" s="7"/>
      <c r="KCM186" s="7"/>
      <c r="KCN186" s="7"/>
      <c r="KCO186" s="7"/>
      <c r="KCP186" s="7"/>
      <c r="KCQ186" s="7"/>
      <c r="KCR186" s="7"/>
      <c r="KCS186" s="7"/>
      <c r="KCT186" s="7"/>
      <c r="KCU186" s="7"/>
      <c r="KCV186" s="7"/>
      <c r="KCW186" s="7"/>
      <c r="KCX186" s="7"/>
      <c r="KCY186" s="7"/>
      <c r="KCZ186" s="7"/>
      <c r="KDA186" s="7"/>
      <c r="KDB186" s="7"/>
      <c r="KDC186" s="7"/>
      <c r="KDD186" s="7"/>
      <c r="KDE186" s="7"/>
      <c r="KDF186" s="7"/>
      <c r="KDG186" s="7"/>
      <c r="KDH186" s="7"/>
      <c r="KDI186" s="7"/>
      <c r="KDJ186" s="7"/>
      <c r="KDK186" s="7"/>
      <c r="KDL186" s="7"/>
      <c r="KDM186" s="7"/>
      <c r="KDN186" s="7"/>
      <c r="KDO186" s="7"/>
      <c r="KDP186" s="7"/>
      <c r="KDQ186" s="7"/>
      <c r="KDR186" s="7"/>
      <c r="KDS186" s="7"/>
      <c r="KDT186" s="7"/>
      <c r="KDU186" s="7"/>
      <c r="KDV186" s="7"/>
      <c r="KDW186" s="7"/>
      <c r="KDX186" s="7"/>
      <c r="KDY186" s="7"/>
      <c r="KDZ186" s="7"/>
      <c r="KEA186" s="7"/>
      <c r="KEB186" s="7"/>
      <c r="KEC186" s="7"/>
      <c r="KED186" s="7"/>
      <c r="KEE186" s="7"/>
      <c r="KEF186" s="7"/>
      <c r="KEG186" s="7"/>
      <c r="KEH186" s="7"/>
      <c r="KEI186" s="7"/>
      <c r="KEJ186" s="7"/>
      <c r="KEK186" s="7"/>
      <c r="KEL186" s="7"/>
      <c r="KEM186" s="7"/>
      <c r="KEN186" s="7"/>
      <c r="KEO186" s="7"/>
      <c r="KEP186" s="7"/>
      <c r="KEQ186" s="7"/>
      <c r="KER186" s="7"/>
      <c r="KES186" s="7"/>
      <c r="KET186" s="7"/>
      <c r="KEU186" s="7"/>
      <c r="KEV186" s="7"/>
      <c r="KEW186" s="7"/>
      <c r="KEX186" s="7"/>
      <c r="KEY186" s="7"/>
      <c r="KEZ186" s="7"/>
      <c r="KFA186" s="7"/>
      <c r="KFB186" s="7"/>
      <c r="KFC186" s="7"/>
      <c r="KFD186" s="7"/>
      <c r="KFE186" s="7"/>
      <c r="KFF186" s="7"/>
      <c r="KFG186" s="7"/>
      <c r="KFH186" s="7"/>
      <c r="KFI186" s="7"/>
      <c r="KFJ186" s="7"/>
      <c r="KFK186" s="7"/>
      <c r="KFL186" s="7"/>
      <c r="KFM186" s="7"/>
      <c r="KFN186" s="7"/>
      <c r="KFO186" s="7"/>
      <c r="KFP186" s="7"/>
      <c r="KFQ186" s="7"/>
      <c r="KFR186" s="7"/>
      <c r="KFS186" s="7"/>
      <c r="KFT186" s="7"/>
      <c r="KFU186" s="7"/>
      <c r="KFV186" s="7"/>
      <c r="KFW186" s="7"/>
      <c r="KFX186" s="7"/>
      <c r="KFY186" s="7"/>
      <c r="KFZ186" s="7"/>
      <c r="KGA186" s="7"/>
      <c r="KGB186" s="7"/>
      <c r="KGC186" s="7"/>
      <c r="KGD186" s="7"/>
      <c r="KGE186" s="7"/>
      <c r="KGF186" s="7"/>
      <c r="KGG186" s="7"/>
      <c r="KGH186" s="7"/>
      <c r="KGI186" s="7"/>
      <c r="KGJ186" s="7"/>
      <c r="KGK186" s="7"/>
      <c r="KGL186" s="7"/>
      <c r="KGM186" s="7"/>
      <c r="KGN186" s="7"/>
      <c r="KGO186" s="7"/>
      <c r="KGP186" s="7"/>
      <c r="KGQ186" s="7"/>
      <c r="KGR186" s="7"/>
      <c r="KGS186" s="7"/>
      <c r="KGT186" s="7"/>
      <c r="KGU186" s="7"/>
      <c r="KGV186" s="7"/>
      <c r="KGW186" s="7"/>
      <c r="KGX186" s="7"/>
      <c r="KGY186" s="7"/>
      <c r="KGZ186" s="7"/>
      <c r="KHA186" s="7"/>
      <c r="KHB186" s="7"/>
      <c r="KHC186" s="7"/>
      <c r="KHD186" s="7"/>
      <c r="KHE186" s="7"/>
      <c r="KHF186" s="7"/>
      <c r="KHG186" s="7"/>
      <c r="KHH186" s="7"/>
      <c r="KHI186" s="7"/>
      <c r="KHJ186" s="7"/>
      <c r="KHK186" s="7"/>
      <c r="KHL186" s="7"/>
      <c r="KHM186" s="7"/>
      <c r="KHN186" s="7"/>
      <c r="KHO186" s="7"/>
      <c r="KHP186" s="7"/>
      <c r="KHQ186" s="7"/>
      <c r="KHR186" s="7"/>
      <c r="KHS186" s="7"/>
      <c r="KHT186" s="7"/>
      <c r="KHU186" s="7"/>
      <c r="KHV186" s="7"/>
      <c r="KHW186" s="7"/>
      <c r="KHX186" s="7"/>
      <c r="KHY186" s="7"/>
      <c r="KHZ186" s="7"/>
      <c r="KIA186" s="7"/>
      <c r="KIB186" s="7"/>
      <c r="KIC186" s="7"/>
      <c r="KID186" s="7"/>
      <c r="KIE186" s="7"/>
      <c r="KIF186" s="7"/>
      <c r="KIG186" s="7"/>
      <c r="KIH186" s="7"/>
      <c r="KII186" s="7"/>
      <c r="KIJ186" s="7"/>
      <c r="KIK186" s="7"/>
      <c r="KIL186" s="7"/>
      <c r="KIM186" s="7"/>
      <c r="KIN186" s="7"/>
      <c r="KIO186" s="7"/>
      <c r="KIP186" s="7"/>
      <c r="KIQ186" s="7"/>
      <c r="KIR186" s="7"/>
      <c r="KIS186" s="7"/>
      <c r="KIT186" s="7"/>
      <c r="KIU186" s="7"/>
      <c r="KIV186" s="7"/>
      <c r="KIW186" s="7"/>
      <c r="KIX186" s="7"/>
      <c r="KIY186" s="7"/>
      <c r="KIZ186" s="7"/>
      <c r="KJA186" s="7"/>
      <c r="KJB186" s="7"/>
      <c r="KJC186" s="7"/>
      <c r="KJD186" s="7"/>
      <c r="KJE186" s="7"/>
      <c r="KJF186" s="7"/>
      <c r="KJG186" s="7"/>
      <c r="KJH186" s="7"/>
      <c r="KJI186" s="7"/>
      <c r="KJJ186" s="7"/>
      <c r="KJK186" s="7"/>
      <c r="KJL186" s="7"/>
      <c r="KJM186" s="7"/>
      <c r="KJN186" s="7"/>
      <c r="KJO186" s="7"/>
      <c r="KJP186" s="7"/>
      <c r="KJQ186" s="7"/>
      <c r="KJR186" s="7"/>
      <c r="KJS186" s="7"/>
      <c r="KJT186" s="7"/>
      <c r="KJU186" s="7"/>
      <c r="KJV186" s="7"/>
      <c r="KJW186" s="7"/>
      <c r="KJX186" s="7"/>
      <c r="KJY186" s="7"/>
      <c r="KJZ186" s="7"/>
      <c r="KKA186" s="7"/>
      <c r="KKB186" s="7"/>
      <c r="KKC186" s="7"/>
      <c r="KKD186" s="7"/>
      <c r="KKE186" s="7"/>
      <c r="KKF186" s="7"/>
      <c r="KKG186" s="7"/>
      <c r="KKH186" s="7"/>
      <c r="KKI186" s="7"/>
      <c r="KKJ186" s="7"/>
      <c r="KKK186" s="7"/>
      <c r="KKL186" s="7"/>
      <c r="KKM186" s="7"/>
      <c r="KKN186" s="7"/>
      <c r="KKO186" s="7"/>
      <c r="KKP186" s="7"/>
      <c r="KKQ186" s="7"/>
      <c r="KKR186" s="7"/>
      <c r="KKS186" s="7"/>
      <c r="KKT186" s="7"/>
      <c r="KKU186" s="7"/>
      <c r="KKV186" s="7"/>
      <c r="KKW186" s="7"/>
      <c r="KKX186" s="7"/>
      <c r="KKY186" s="7"/>
      <c r="KKZ186" s="7"/>
      <c r="KLA186" s="7"/>
      <c r="KLB186" s="7"/>
      <c r="KLC186" s="7"/>
      <c r="KLD186" s="7"/>
      <c r="KLE186" s="7"/>
      <c r="KLF186" s="7"/>
      <c r="KLG186" s="7"/>
      <c r="KLH186" s="7"/>
      <c r="KLI186" s="7"/>
      <c r="KLJ186" s="7"/>
      <c r="KLK186" s="7"/>
      <c r="KLL186" s="7"/>
      <c r="KLM186" s="7"/>
      <c r="KLN186" s="7"/>
      <c r="KLO186" s="7"/>
      <c r="KLP186" s="7"/>
      <c r="KLQ186" s="7"/>
      <c r="KLR186" s="7"/>
      <c r="KLS186" s="7"/>
      <c r="KLT186" s="7"/>
      <c r="KLU186" s="7"/>
      <c r="KLV186" s="7"/>
      <c r="KLW186" s="7"/>
      <c r="KLX186" s="7"/>
      <c r="KLY186" s="7"/>
      <c r="KLZ186" s="7"/>
      <c r="KMA186" s="7"/>
      <c r="KMB186" s="7"/>
      <c r="KMC186" s="7"/>
      <c r="KMD186" s="7"/>
      <c r="KME186" s="7"/>
      <c r="KMF186" s="7"/>
      <c r="KMG186" s="7"/>
      <c r="KMH186" s="7"/>
      <c r="KMI186" s="7"/>
      <c r="KMJ186" s="7"/>
      <c r="KMK186" s="7"/>
      <c r="KML186" s="7"/>
      <c r="KMM186" s="7"/>
      <c r="KMN186" s="7"/>
      <c r="KMO186" s="7"/>
      <c r="KMP186" s="7"/>
      <c r="KMQ186" s="7"/>
      <c r="KMR186" s="7"/>
      <c r="KMS186" s="7"/>
      <c r="KMT186" s="7"/>
      <c r="KMU186" s="7"/>
      <c r="KMV186" s="7"/>
      <c r="KMW186" s="7"/>
      <c r="KMX186" s="7"/>
      <c r="KMY186" s="7"/>
      <c r="KMZ186" s="7"/>
      <c r="KNA186" s="7"/>
      <c r="KNB186" s="7"/>
      <c r="KNC186" s="7"/>
      <c r="KND186" s="7"/>
      <c r="KNE186" s="7"/>
      <c r="KNF186" s="7"/>
      <c r="KNG186" s="7"/>
      <c r="KNH186" s="7"/>
      <c r="KNI186" s="7"/>
      <c r="KNJ186" s="7"/>
      <c r="KNK186" s="7"/>
      <c r="KNL186" s="7"/>
      <c r="KNM186" s="7"/>
      <c r="KNN186" s="7"/>
      <c r="KNO186" s="7"/>
      <c r="KNP186" s="7"/>
      <c r="KNQ186" s="7"/>
      <c r="KNR186" s="7"/>
      <c r="KNS186" s="7"/>
      <c r="KNT186" s="7"/>
      <c r="KNU186" s="7"/>
      <c r="KNV186" s="7"/>
      <c r="KNW186" s="7"/>
      <c r="KNX186" s="7"/>
      <c r="KNY186" s="7"/>
      <c r="KNZ186" s="7"/>
      <c r="KOA186" s="7"/>
      <c r="KOB186" s="7"/>
      <c r="KOC186" s="7"/>
      <c r="KOD186" s="7"/>
      <c r="KOE186" s="7"/>
      <c r="KOF186" s="7"/>
      <c r="KOG186" s="7"/>
      <c r="KOH186" s="7"/>
      <c r="KOI186" s="7"/>
      <c r="KOJ186" s="7"/>
      <c r="KOK186" s="7"/>
      <c r="KOL186" s="7"/>
      <c r="KOM186" s="7"/>
      <c r="KON186" s="7"/>
      <c r="KOO186" s="7"/>
      <c r="KOP186" s="7"/>
      <c r="KOQ186" s="7"/>
      <c r="KOR186" s="7"/>
      <c r="KOS186" s="7"/>
      <c r="KOT186" s="7"/>
      <c r="KOU186" s="7"/>
      <c r="KOV186" s="7"/>
      <c r="KOW186" s="7"/>
      <c r="KOX186" s="7"/>
      <c r="KOY186" s="7"/>
      <c r="KOZ186" s="7"/>
      <c r="KPA186" s="7"/>
      <c r="KPB186" s="7"/>
      <c r="KPC186" s="7"/>
      <c r="KPD186" s="7"/>
      <c r="KPE186" s="7"/>
      <c r="KPF186" s="7"/>
      <c r="KPG186" s="7"/>
      <c r="KPH186" s="7"/>
      <c r="KPI186" s="7"/>
      <c r="KPJ186" s="7"/>
      <c r="KPK186" s="7"/>
      <c r="KPL186" s="7"/>
      <c r="KPM186" s="7"/>
      <c r="KPN186" s="7"/>
      <c r="KPO186" s="7"/>
      <c r="KPP186" s="7"/>
      <c r="KPQ186" s="7"/>
      <c r="KPR186" s="7"/>
      <c r="KPS186" s="7"/>
      <c r="KPT186" s="7"/>
      <c r="KPU186" s="7"/>
      <c r="KPV186" s="7"/>
      <c r="KPW186" s="7"/>
      <c r="KPX186" s="7"/>
      <c r="KPY186" s="7"/>
      <c r="KPZ186" s="7"/>
      <c r="KQA186" s="7"/>
      <c r="KQB186" s="7"/>
      <c r="KQC186" s="7"/>
      <c r="KQD186" s="7"/>
      <c r="KQE186" s="7"/>
      <c r="KQF186" s="7"/>
      <c r="KQG186" s="7"/>
      <c r="KQH186" s="7"/>
      <c r="KQI186" s="7"/>
      <c r="KQJ186" s="7"/>
      <c r="KQK186" s="7"/>
      <c r="KQL186" s="7"/>
      <c r="KQM186" s="7"/>
      <c r="KQN186" s="7"/>
      <c r="KQO186" s="7"/>
      <c r="KQP186" s="7"/>
      <c r="KQQ186" s="7"/>
      <c r="KQR186" s="7"/>
      <c r="KQS186" s="7"/>
      <c r="KQT186" s="7"/>
      <c r="KQU186" s="7"/>
      <c r="KQV186" s="7"/>
      <c r="KQW186" s="7"/>
      <c r="KQX186" s="7"/>
      <c r="KQY186" s="7"/>
      <c r="KQZ186" s="7"/>
      <c r="KRA186" s="7"/>
      <c r="KRB186" s="7"/>
      <c r="KRC186" s="7"/>
      <c r="KRD186" s="7"/>
      <c r="KRE186" s="7"/>
      <c r="KRF186" s="7"/>
      <c r="KRG186" s="7"/>
      <c r="KRH186" s="7"/>
      <c r="KRI186" s="7"/>
      <c r="KRJ186" s="7"/>
      <c r="KRK186" s="7"/>
      <c r="KRL186" s="7"/>
      <c r="KRM186" s="7"/>
      <c r="KRN186" s="7"/>
      <c r="KRO186" s="7"/>
      <c r="KRP186" s="7"/>
      <c r="KRQ186" s="7"/>
      <c r="KRR186" s="7"/>
      <c r="KRS186" s="7"/>
      <c r="KRT186" s="7"/>
      <c r="KRU186" s="7"/>
      <c r="KRV186" s="7"/>
      <c r="KRW186" s="7"/>
      <c r="KRX186" s="7"/>
      <c r="KRY186" s="7"/>
      <c r="KRZ186" s="7"/>
      <c r="KSA186" s="7"/>
      <c r="KSB186" s="7"/>
      <c r="KSC186" s="7"/>
      <c r="KSD186" s="7"/>
      <c r="KSE186" s="7"/>
      <c r="KSF186" s="7"/>
      <c r="KSG186" s="7"/>
      <c r="KSH186" s="7"/>
      <c r="KSI186" s="7"/>
      <c r="KSJ186" s="7"/>
      <c r="KSK186" s="7"/>
      <c r="KSL186" s="7"/>
      <c r="KSM186" s="7"/>
      <c r="KSN186" s="7"/>
      <c r="KSO186" s="7"/>
      <c r="KSP186" s="7"/>
      <c r="KSQ186" s="7"/>
      <c r="KSR186" s="7"/>
      <c r="KSS186" s="7"/>
      <c r="KST186" s="7"/>
      <c r="KSU186" s="7"/>
      <c r="KSV186" s="7"/>
      <c r="KSW186" s="7"/>
      <c r="KSX186" s="7"/>
      <c r="KSY186" s="7"/>
      <c r="KSZ186" s="7"/>
      <c r="KTA186" s="7"/>
      <c r="KTB186" s="7"/>
      <c r="KTC186" s="7"/>
      <c r="KTD186" s="7"/>
      <c r="KTE186" s="7"/>
      <c r="KTF186" s="7"/>
      <c r="KTG186" s="7"/>
      <c r="KTH186" s="7"/>
      <c r="KTI186" s="7"/>
      <c r="KTJ186" s="7"/>
      <c r="KTK186" s="7"/>
      <c r="KTL186" s="7"/>
      <c r="KTM186" s="7"/>
      <c r="KTN186" s="7"/>
      <c r="KTO186" s="7"/>
      <c r="KTP186" s="7"/>
      <c r="KTQ186" s="7"/>
      <c r="KTR186" s="7"/>
      <c r="KTS186" s="7"/>
      <c r="KTT186" s="7"/>
      <c r="KTU186" s="7"/>
      <c r="KTV186" s="7"/>
      <c r="KTW186" s="7"/>
      <c r="KTX186" s="7"/>
      <c r="KTY186" s="7"/>
      <c r="KTZ186" s="7"/>
      <c r="KUA186" s="7"/>
      <c r="KUB186" s="7"/>
      <c r="KUC186" s="7"/>
      <c r="KUD186" s="7"/>
      <c r="KUE186" s="7"/>
      <c r="KUF186" s="7"/>
      <c r="KUG186" s="7"/>
      <c r="KUH186" s="7"/>
      <c r="KUI186" s="7"/>
      <c r="KUJ186" s="7"/>
      <c r="KUK186" s="7"/>
      <c r="KUL186" s="7"/>
      <c r="KUM186" s="7"/>
      <c r="KUN186" s="7"/>
      <c r="KUO186" s="7"/>
      <c r="KUP186" s="7"/>
      <c r="KUQ186" s="7"/>
      <c r="KUR186" s="7"/>
      <c r="KUS186" s="7"/>
      <c r="KUT186" s="7"/>
      <c r="KUU186" s="7"/>
      <c r="KUV186" s="7"/>
      <c r="KUW186" s="7"/>
      <c r="KUX186" s="7"/>
      <c r="KUY186" s="7"/>
      <c r="KUZ186" s="7"/>
      <c r="KVA186" s="7"/>
      <c r="KVB186" s="7"/>
      <c r="KVC186" s="7"/>
      <c r="KVD186" s="7"/>
      <c r="KVE186" s="7"/>
      <c r="KVF186" s="7"/>
      <c r="KVG186" s="7"/>
      <c r="KVH186" s="7"/>
      <c r="KVI186" s="7"/>
      <c r="KVJ186" s="7"/>
      <c r="KVK186" s="7"/>
      <c r="KVL186" s="7"/>
      <c r="KVM186" s="7"/>
      <c r="KVN186" s="7"/>
      <c r="KVO186" s="7"/>
      <c r="KVP186" s="7"/>
      <c r="KVQ186" s="7"/>
      <c r="KVR186" s="7"/>
      <c r="KVS186" s="7"/>
      <c r="KVT186" s="7"/>
      <c r="KVU186" s="7"/>
      <c r="KVV186" s="7"/>
      <c r="KVW186" s="7"/>
      <c r="KVX186" s="7"/>
      <c r="KVY186" s="7"/>
      <c r="KVZ186" s="7"/>
      <c r="KWA186" s="7"/>
      <c r="KWB186" s="7"/>
      <c r="KWC186" s="7"/>
      <c r="KWD186" s="7"/>
      <c r="KWE186" s="7"/>
      <c r="KWF186" s="7"/>
      <c r="KWG186" s="7"/>
      <c r="KWH186" s="7"/>
      <c r="KWI186" s="7"/>
      <c r="KWJ186" s="7"/>
      <c r="KWK186" s="7"/>
      <c r="KWL186" s="7"/>
      <c r="KWM186" s="7"/>
      <c r="KWN186" s="7"/>
      <c r="KWO186" s="7"/>
      <c r="KWP186" s="7"/>
      <c r="KWQ186" s="7"/>
      <c r="KWR186" s="7"/>
      <c r="KWS186" s="7"/>
      <c r="KWT186" s="7"/>
      <c r="KWU186" s="7"/>
      <c r="KWV186" s="7"/>
      <c r="KWW186" s="7"/>
      <c r="KWX186" s="7"/>
      <c r="KWY186" s="7"/>
      <c r="KWZ186" s="7"/>
      <c r="KXA186" s="7"/>
      <c r="KXB186" s="7"/>
      <c r="KXC186" s="7"/>
      <c r="KXD186" s="7"/>
      <c r="KXE186" s="7"/>
      <c r="KXF186" s="7"/>
      <c r="KXG186" s="7"/>
      <c r="KXH186" s="7"/>
      <c r="KXI186" s="7"/>
      <c r="KXJ186" s="7"/>
      <c r="KXK186" s="7"/>
      <c r="KXL186" s="7"/>
      <c r="KXM186" s="7"/>
      <c r="KXN186" s="7"/>
      <c r="KXO186" s="7"/>
      <c r="KXP186" s="7"/>
      <c r="KXQ186" s="7"/>
      <c r="KXR186" s="7"/>
      <c r="KXS186" s="7"/>
      <c r="KXT186" s="7"/>
      <c r="KXU186" s="7"/>
      <c r="KXV186" s="7"/>
      <c r="KXW186" s="7"/>
      <c r="KXX186" s="7"/>
      <c r="KXY186" s="7"/>
      <c r="KXZ186" s="7"/>
      <c r="KYA186" s="7"/>
      <c r="KYB186" s="7"/>
      <c r="KYC186" s="7"/>
      <c r="KYD186" s="7"/>
      <c r="KYE186" s="7"/>
      <c r="KYF186" s="7"/>
      <c r="KYG186" s="7"/>
      <c r="KYH186" s="7"/>
      <c r="KYI186" s="7"/>
      <c r="KYJ186" s="7"/>
      <c r="KYK186" s="7"/>
      <c r="KYL186" s="7"/>
      <c r="KYM186" s="7"/>
      <c r="KYN186" s="7"/>
      <c r="KYO186" s="7"/>
      <c r="KYP186" s="7"/>
      <c r="KYQ186" s="7"/>
      <c r="KYR186" s="7"/>
      <c r="KYS186" s="7"/>
      <c r="KYT186" s="7"/>
      <c r="KYU186" s="7"/>
      <c r="KYV186" s="7"/>
      <c r="KYW186" s="7"/>
      <c r="KYX186" s="7"/>
      <c r="KYY186" s="7"/>
      <c r="KYZ186" s="7"/>
      <c r="KZA186" s="7"/>
      <c r="KZB186" s="7"/>
      <c r="KZC186" s="7"/>
      <c r="KZD186" s="7"/>
      <c r="KZE186" s="7"/>
      <c r="KZF186" s="7"/>
      <c r="KZG186" s="7"/>
      <c r="KZH186" s="7"/>
      <c r="KZI186" s="7"/>
      <c r="KZJ186" s="7"/>
      <c r="KZK186" s="7"/>
      <c r="KZL186" s="7"/>
      <c r="KZM186" s="7"/>
      <c r="KZN186" s="7"/>
      <c r="KZO186" s="7"/>
      <c r="KZP186" s="7"/>
      <c r="KZQ186" s="7"/>
      <c r="KZR186" s="7"/>
      <c r="KZS186" s="7"/>
      <c r="KZT186" s="7"/>
      <c r="KZU186" s="7"/>
      <c r="KZV186" s="7"/>
      <c r="KZW186" s="7"/>
      <c r="KZX186" s="7"/>
      <c r="KZY186" s="7"/>
      <c r="KZZ186" s="7"/>
      <c r="LAA186" s="7"/>
      <c r="LAB186" s="7"/>
      <c r="LAC186" s="7"/>
      <c r="LAD186" s="7"/>
      <c r="LAE186" s="7"/>
      <c r="LAF186" s="7"/>
      <c r="LAG186" s="7"/>
      <c r="LAH186" s="7"/>
      <c r="LAI186" s="7"/>
      <c r="LAJ186" s="7"/>
      <c r="LAK186" s="7"/>
      <c r="LAL186" s="7"/>
      <c r="LAM186" s="7"/>
      <c r="LAN186" s="7"/>
      <c r="LAO186" s="7"/>
      <c r="LAP186" s="7"/>
      <c r="LAQ186" s="7"/>
      <c r="LAR186" s="7"/>
      <c r="LAS186" s="7"/>
      <c r="LAT186" s="7"/>
      <c r="LAU186" s="7"/>
      <c r="LAV186" s="7"/>
      <c r="LAW186" s="7"/>
      <c r="LAX186" s="7"/>
      <c r="LAY186" s="7"/>
      <c r="LAZ186" s="7"/>
      <c r="LBA186" s="7"/>
      <c r="LBB186" s="7"/>
      <c r="LBC186" s="7"/>
      <c r="LBD186" s="7"/>
      <c r="LBE186" s="7"/>
      <c r="LBF186" s="7"/>
      <c r="LBG186" s="7"/>
      <c r="LBH186" s="7"/>
      <c r="LBI186" s="7"/>
      <c r="LBJ186" s="7"/>
      <c r="LBK186" s="7"/>
      <c r="LBL186" s="7"/>
      <c r="LBM186" s="7"/>
      <c r="LBN186" s="7"/>
      <c r="LBO186" s="7"/>
      <c r="LBP186" s="7"/>
      <c r="LBQ186" s="7"/>
      <c r="LBR186" s="7"/>
      <c r="LBS186" s="7"/>
      <c r="LBT186" s="7"/>
      <c r="LBU186" s="7"/>
      <c r="LBV186" s="7"/>
      <c r="LBW186" s="7"/>
      <c r="LBX186" s="7"/>
      <c r="LBY186" s="7"/>
      <c r="LBZ186" s="7"/>
      <c r="LCA186" s="7"/>
      <c r="LCB186" s="7"/>
      <c r="LCC186" s="7"/>
      <c r="LCD186" s="7"/>
      <c r="LCE186" s="7"/>
      <c r="LCF186" s="7"/>
      <c r="LCG186" s="7"/>
      <c r="LCH186" s="7"/>
      <c r="LCI186" s="7"/>
      <c r="LCJ186" s="7"/>
      <c r="LCK186" s="7"/>
      <c r="LCL186" s="7"/>
      <c r="LCM186" s="7"/>
      <c r="LCN186" s="7"/>
      <c r="LCO186" s="7"/>
      <c r="LCP186" s="7"/>
      <c r="LCQ186" s="7"/>
      <c r="LCR186" s="7"/>
      <c r="LCS186" s="7"/>
      <c r="LCT186" s="7"/>
      <c r="LCU186" s="7"/>
      <c r="LCV186" s="7"/>
      <c r="LCW186" s="7"/>
      <c r="LCX186" s="7"/>
      <c r="LCY186" s="7"/>
      <c r="LCZ186" s="7"/>
      <c r="LDA186" s="7"/>
      <c r="LDB186" s="7"/>
      <c r="LDC186" s="7"/>
      <c r="LDD186" s="7"/>
      <c r="LDE186" s="7"/>
      <c r="LDF186" s="7"/>
      <c r="LDG186" s="7"/>
      <c r="LDH186" s="7"/>
      <c r="LDI186" s="7"/>
      <c r="LDJ186" s="7"/>
      <c r="LDK186" s="7"/>
      <c r="LDL186" s="7"/>
      <c r="LDM186" s="7"/>
      <c r="LDN186" s="7"/>
      <c r="LDO186" s="7"/>
      <c r="LDP186" s="7"/>
      <c r="LDQ186" s="7"/>
      <c r="LDR186" s="7"/>
      <c r="LDS186" s="7"/>
      <c r="LDT186" s="7"/>
      <c r="LDU186" s="7"/>
      <c r="LDV186" s="7"/>
      <c r="LDW186" s="7"/>
      <c r="LDX186" s="7"/>
      <c r="LDY186" s="7"/>
      <c r="LDZ186" s="7"/>
      <c r="LEA186" s="7"/>
      <c r="LEB186" s="7"/>
      <c r="LEC186" s="7"/>
      <c r="LED186" s="7"/>
      <c r="LEE186" s="7"/>
      <c r="LEF186" s="7"/>
      <c r="LEG186" s="7"/>
      <c r="LEH186" s="7"/>
      <c r="LEI186" s="7"/>
      <c r="LEJ186" s="7"/>
      <c r="LEK186" s="7"/>
      <c r="LEL186" s="7"/>
      <c r="LEM186" s="7"/>
      <c r="LEN186" s="7"/>
      <c r="LEO186" s="7"/>
      <c r="LEP186" s="7"/>
      <c r="LEQ186" s="7"/>
      <c r="LER186" s="7"/>
      <c r="LES186" s="7"/>
      <c r="LET186" s="7"/>
      <c r="LEU186" s="7"/>
      <c r="LEV186" s="7"/>
      <c r="LEW186" s="7"/>
      <c r="LEX186" s="7"/>
      <c r="LEY186" s="7"/>
      <c r="LEZ186" s="7"/>
      <c r="LFA186" s="7"/>
      <c r="LFB186" s="7"/>
      <c r="LFC186" s="7"/>
      <c r="LFD186" s="7"/>
      <c r="LFE186" s="7"/>
      <c r="LFF186" s="7"/>
      <c r="LFG186" s="7"/>
      <c r="LFH186" s="7"/>
      <c r="LFI186" s="7"/>
      <c r="LFJ186" s="7"/>
      <c r="LFK186" s="7"/>
      <c r="LFL186" s="7"/>
      <c r="LFM186" s="7"/>
      <c r="LFN186" s="7"/>
      <c r="LFO186" s="7"/>
      <c r="LFP186" s="7"/>
      <c r="LFQ186" s="7"/>
      <c r="LFR186" s="7"/>
      <c r="LFS186" s="7"/>
      <c r="LFT186" s="7"/>
      <c r="LFU186" s="7"/>
      <c r="LFV186" s="7"/>
      <c r="LFW186" s="7"/>
      <c r="LFX186" s="7"/>
      <c r="LFY186" s="7"/>
      <c r="LFZ186" s="7"/>
      <c r="LGA186" s="7"/>
      <c r="LGB186" s="7"/>
      <c r="LGC186" s="7"/>
      <c r="LGD186" s="7"/>
      <c r="LGE186" s="7"/>
      <c r="LGF186" s="7"/>
      <c r="LGG186" s="7"/>
      <c r="LGH186" s="7"/>
      <c r="LGI186" s="7"/>
      <c r="LGJ186" s="7"/>
      <c r="LGK186" s="7"/>
      <c r="LGL186" s="7"/>
      <c r="LGM186" s="7"/>
      <c r="LGN186" s="7"/>
      <c r="LGO186" s="7"/>
      <c r="LGP186" s="7"/>
      <c r="LGQ186" s="7"/>
      <c r="LGR186" s="7"/>
      <c r="LGS186" s="7"/>
      <c r="LGT186" s="7"/>
      <c r="LGU186" s="7"/>
      <c r="LGV186" s="7"/>
      <c r="LGW186" s="7"/>
      <c r="LGX186" s="7"/>
      <c r="LGY186" s="7"/>
      <c r="LGZ186" s="7"/>
      <c r="LHA186" s="7"/>
      <c r="LHB186" s="7"/>
      <c r="LHC186" s="7"/>
      <c r="LHD186" s="7"/>
      <c r="LHE186" s="7"/>
      <c r="LHF186" s="7"/>
      <c r="LHG186" s="7"/>
      <c r="LHH186" s="7"/>
      <c r="LHI186" s="7"/>
      <c r="LHJ186" s="7"/>
      <c r="LHK186" s="7"/>
      <c r="LHL186" s="7"/>
      <c r="LHM186" s="7"/>
      <c r="LHN186" s="7"/>
      <c r="LHO186" s="7"/>
      <c r="LHP186" s="7"/>
      <c r="LHQ186" s="7"/>
      <c r="LHR186" s="7"/>
      <c r="LHS186" s="7"/>
      <c r="LHT186" s="7"/>
      <c r="LHU186" s="7"/>
      <c r="LHV186" s="7"/>
      <c r="LHW186" s="7"/>
      <c r="LHX186" s="7"/>
      <c r="LHY186" s="7"/>
      <c r="LHZ186" s="7"/>
      <c r="LIA186" s="7"/>
      <c r="LIB186" s="7"/>
      <c r="LIC186" s="7"/>
      <c r="LID186" s="7"/>
      <c r="LIE186" s="7"/>
      <c r="LIF186" s="7"/>
      <c r="LIG186" s="7"/>
      <c r="LIH186" s="7"/>
      <c r="LII186" s="7"/>
      <c r="LIJ186" s="7"/>
      <c r="LIK186" s="7"/>
      <c r="LIL186" s="7"/>
      <c r="LIM186" s="7"/>
      <c r="LIN186" s="7"/>
      <c r="LIO186" s="7"/>
      <c r="LIP186" s="7"/>
      <c r="LIQ186" s="7"/>
      <c r="LIR186" s="7"/>
      <c r="LIS186" s="7"/>
      <c r="LIT186" s="7"/>
      <c r="LIU186" s="7"/>
      <c r="LIV186" s="7"/>
      <c r="LIW186" s="7"/>
      <c r="LIX186" s="7"/>
      <c r="LIY186" s="7"/>
      <c r="LIZ186" s="7"/>
      <c r="LJA186" s="7"/>
      <c r="LJB186" s="7"/>
      <c r="LJC186" s="7"/>
      <c r="LJD186" s="7"/>
      <c r="LJE186" s="7"/>
      <c r="LJF186" s="7"/>
      <c r="LJG186" s="7"/>
      <c r="LJH186" s="7"/>
      <c r="LJI186" s="7"/>
      <c r="LJJ186" s="7"/>
      <c r="LJK186" s="7"/>
      <c r="LJL186" s="7"/>
      <c r="LJM186" s="7"/>
      <c r="LJN186" s="7"/>
      <c r="LJO186" s="7"/>
      <c r="LJP186" s="7"/>
      <c r="LJQ186" s="7"/>
      <c r="LJR186" s="7"/>
      <c r="LJS186" s="7"/>
      <c r="LJT186" s="7"/>
      <c r="LJU186" s="7"/>
      <c r="LJV186" s="7"/>
      <c r="LJW186" s="7"/>
      <c r="LJX186" s="7"/>
      <c r="LJY186" s="7"/>
      <c r="LJZ186" s="7"/>
      <c r="LKA186" s="7"/>
      <c r="LKB186" s="7"/>
      <c r="LKC186" s="7"/>
      <c r="LKD186" s="7"/>
      <c r="LKE186" s="7"/>
      <c r="LKF186" s="7"/>
      <c r="LKG186" s="7"/>
      <c r="LKH186" s="7"/>
      <c r="LKI186" s="7"/>
      <c r="LKJ186" s="7"/>
      <c r="LKK186" s="7"/>
      <c r="LKL186" s="7"/>
      <c r="LKM186" s="7"/>
      <c r="LKN186" s="7"/>
      <c r="LKO186" s="7"/>
      <c r="LKP186" s="7"/>
      <c r="LKQ186" s="7"/>
      <c r="LKR186" s="7"/>
      <c r="LKS186" s="7"/>
      <c r="LKT186" s="7"/>
      <c r="LKU186" s="7"/>
      <c r="LKV186" s="7"/>
      <c r="LKW186" s="7"/>
      <c r="LKX186" s="7"/>
      <c r="LKY186" s="7"/>
      <c r="LKZ186" s="7"/>
      <c r="LLA186" s="7"/>
      <c r="LLB186" s="7"/>
      <c r="LLC186" s="7"/>
      <c r="LLD186" s="7"/>
      <c r="LLE186" s="7"/>
      <c r="LLF186" s="7"/>
      <c r="LLG186" s="7"/>
      <c r="LLH186" s="7"/>
      <c r="LLI186" s="7"/>
      <c r="LLJ186" s="7"/>
      <c r="LLK186" s="7"/>
      <c r="LLL186" s="7"/>
      <c r="LLM186" s="7"/>
      <c r="LLN186" s="7"/>
      <c r="LLO186" s="7"/>
      <c r="LLP186" s="7"/>
      <c r="LLQ186" s="7"/>
      <c r="LLR186" s="7"/>
      <c r="LLS186" s="7"/>
      <c r="LLT186" s="7"/>
      <c r="LLU186" s="7"/>
      <c r="LLV186" s="7"/>
      <c r="LLW186" s="7"/>
      <c r="LLX186" s="7"/>
      <c r="LLY186" s="7"/>
      <c r="LLZ186" s="7"/>
      <c r="LMA186" s="7"/>
      <c r="LMB186" s="7"/>
      <c r="LMC186" s="7"/>
      <c r="LMD186" s="7"/>
      <c r="LME186" s="7"/>
      <c r="LMF186" s="7"/>
      <c r="LMG186" s="7"/>
      <c r="LMH186" s="7"/>
      <c r="LMI186" s="7"/>
      <c r="LMJ186" s="7"/>
      <c r="LMK186" s="7"/>
      <c r="LML186" s="7"/>
      <c r="LMM186" s="7"/>
      <c r="LMN186" s="7"/>
      <c r="LMO186" s="7"/>
      <c r="LMP186" s="7"/>
      <c r="LMQ186" s="7"/>
      <c r="LMR186" s="7"/>
      <c r="LMS186" s="7"/>
      <c r="LMT186" s="7"/>
      <c r="LMU186" s="7"/>
      <c r="LMV186" s="7"/>
      <c r="LMW186" s="7"/>
      <c r="LMX186" s="7"/>
      <c r="LMY186" s="7"/>
      <c r="LMZ186" s="7"/>
      <c r="LNA186" s="7"/>
      <c r="LNB186" s="7"/>
      <c r="LNC186" s="7"/>
      <c r="LND186" s="7"/>
      <c r="LNE186" s="7"/>
      <c r="LNF186" s="7"/>
      <c r="LNG186" s="7"/>
      <c r="LNH186" s="7"/>
      <c r="LNI186" s="7"/>
      <c r="LNJ186" s="7"/>
      <c r="LNK186" s="7"/>
      <c r="LNL186" s="7"/>
      <c r="LNM186" s="7"/>
      <c r="LNN186" s="7"/>
      <c r="LNO186" s="7"/>
      <c r="LNP186" s="7"/>
      <c r="LNQ186" s="7"/>
      <c r="LNR186" s="7"/>
      <c r="LNS186" s="7"/>
      <c r="LNT186" s="7"/>
      <c r="LNU186" s="7"/>
      <c r="LNV186" s="7"/>
      <c r="LNW186" s="7"/>
      <c r="LNX186" s="7"/>
      <c r="LNY186" s="7"/>
      <c r="LNZ186" s="7"/>
      <c r="LOA186" s="7"/>
      <c r="LOB186" s="7"/>
      <c r="LOC186" s="7"/>
      <c r="LOD186" s="7"/>
      <c r="LOE186" s="7"/>
      <c r="LOF186" s="7"/>
      <c r="LOG186" s="7"/>
      <c r="LOH186" s="7"/>
      <c r="LOI186" s="7"/>
      <c r="LOJ186" s="7"/>
      <c r="LOK186" s="7"/>
      <c r="LOL186" s="7"/>
      <c r="LOM186" s="7"/>
      <c r="LON186" s="7"/>
      <c r="LOO186" s="7"/>
      <c r="LOP186" s="7"/>
      <c r="LOQ186" s="7"/>
      <c r="LOR186" s="7"/>
      <c r="LOS186" s="7"/>
      <c r="LOT186" s="7"/>
      <c r="LOU186" s="7"/>
      <c r="LOV186" s="7"/>
      <c r="LOW186" s="7"/>
      <c r="LOX186" s="7"/>
      <c r="LOY186" s="7"/>
      <c r="LOZ186" s="7"/>
      <c r="LPA186" s="7"/>
      <c r="LPB186" s="7"/>
      <c r="LPC186" s="7"/>
      <c r="LPD186" s="7"/>
      <c r="LPE186" s="7"/>
      <c r="LPF186" s="7"/>
      <c r="LPG186" s="7"/>
      <c r="LPH186" s="7"/>
      <c r="LPI186" s="7"/>
      <c r="LPJ186" s="7"/>
      <c r="LPK186" s="7"/>
      <c r="LPL186" s="7"/>
      <c r="LPM186" s="7"/>
      <c r="LPN186" s="7"/>
      <c r="LPO186" s="7"/>
      <c r="LPP186" s="7"/>
      <c r="LPQ186" s="7"/>
      <c r="LPR186" s="7"/>
      <c r="LPS186" s="7"/>
      <c r="LPT186" s="7"/>
      <c r="LPU186" s="7"/>
      <c r="LPV186" s="7"/>
      <c r="LPW186" s="7"/>
      <c r="LPX186" s="7"/>
      <c r="LPY186" s="7"/>
      <c r="LPZ186" s="7"/>
      <c r="LQA186" s="7"/>
      <c r="LQB186" s="7"/>
      <c r="LQC186" s="7"/>
      <c r="LQD186" s="7"/>
      <c r="LQE186" s="7"/>
      <c r="LQF186" s="7"/>
      <c r="LQG186" s="7"/>
      <c r="LQH186" s="7"/>
      <c r="LQI186" s="7"/>
      <c r="LQJ186" s="7"/>
      <c r="LQK186" s="7"/>
      <c r="LQL186" s="7"/>
      <c r="LQM186" s="7"/>
      <c r="LQN186" s="7"/>
      <c r="LQO186" s="7"/>
      <c r="LQP186" s="7"/>
      <c r="LQQ186" s="7"/>
      <c r="LQR186" s="7"/>
      <c r="LQS186" s="7"/>
      <c r="LQT186" s="7"/>
      <c r="LQU186" s="7"/>
      <c r="LQV186" s="7"/>
      <c r="LQW186" s="7"/>
      <c r="LQX186" s="7"/>
      <c r="LQY186" s="7"/>
      <c r="LQZ186" s="7"/>
      <c r="LRA186" s="7"/>
      <c r="LRB186" s="7"/>
      <c r="LRC186" s="7"/>
      <c r="LRD186" s="7"/>
      <c r="LRE186" s="7"/>
      <c r="LRF186" s="7"/>
      <c r="LRG186" s="7"/>
      <c r="LRH186" s="7"/>
      <c r="LRI186" s="7"/>
      <c r="LRJ186" s="7"/>
      <c r="LRK186" s="7"/>
      <c r="LRL186" s="7"/>
      <c r="LRM186" s="7"/>
      <c r="LRN186" s="7"/>
      <c r="LRO186" s="7"/>
      <c r="LRP186" s="7"/>
      <c r="LRQ186" s="7"/>
      <c r="LRR186" s="7"/>
      <c r="LRS186" s="7"/>
      <c r="LRT186" s="7"/>
      <c r="LRU186" s="7"/>
      <c r="LRV186" s="7"/>
      <c r="LRW186" s="7"/>
      <c r="LRX186" s="7"/>
      <c r="LRY186" s="7"/>
      <c r="LRZ186" s="7"/>
      <c r="LSA186" s="7"/>
      <c r="LSB186" s="7"/>
      <c r="LSC186" s="7"/>
      <c r="LSD186" s="7"/>
      <c r="LSE186" s="7"/>
      <c r="LSF186" s="7"/>
      <c r="LSG186" s="7"/>
      <c r="LSH186" s="7"/>
      <c r="LSI186" s="7"/>
      <c r="LSJ186" s="7"/>
      <c r="LSK186" s="7"/>
      <c r="LSL186" s="7"/>
      <c r="LSM186" s="7"/>
      <c r="LSN186" s="7"/>
      <c r="LSO186" s="7"/>
      <c r="LSP186" s="7"/>
      <c r="LSQ186" s="7"/>
      <c r="LSR186" s="7"/>
      <c r="LSS186" s="7"/>
      <c r="LST186" s="7"/>
      <c r="LSU186" s="7"/>
      <c r="LSV186" s="7"/>
      <c r="LSW186" s="7"/>
      <c r="LSX186" s="7"/>
      <c r="LSY186" s="7"/>
      <c r="LSZ186" s="7"/>
      <c r="LTA186" s="7"/>
      <c r="LTB186" s="7"/>
      <c r="LTC186" s="7"/>
      <c r="LTD186" s="7"/>
      <c r="LTE186" s="7"/>
      <c r="LTF186" s="7"/>
      <c r="LTG186" s="7"/>
      <c r="LTH186" s="7"/>
      <c r="LTI186" s="7"/>
      <c r="LTJ186" s="7"/>
      <c r="LTK186" s="7"/>
      <c r="LTL186" s="7"/>
      <c r="LTM186" s="7"/>
      <c r="LTN186" s="7"/>
      <c r="LTO186" s="7"/>
      <c r="LTP186" s="7"/>
      <c r="LTQ186" s="7"/>
      <c r="LTR186" s="7"/>
      <c r="LTS186" s="7"/>
      <c r="LTT186" s="7"/>
      <c r="LTU186" s="7"/>
      <c r="LTV186" s="7"/>
      <c r="LTW186" s="7"/>
      <c r="LTX186" s="7"/>
      <c r="LTY186" s="7"/>
      <c r="LTZ186" s="7"/>
      <c r="LUA186" s="7"/>
      <c r="LUB186" s="7"/>
      <c r="LUC186" s="7"/>
      <c r="LUD186" s="7"/>
      <c r="LUE186" s="7"/>
      <c r="LUF186" s="7"/>
      <c r="LUG186" s="7"/>
      <c r="LUH186" s="7"/>
      <c r="LUI186" s="7"/>
      <c r="LUJ186" s="7"/>
      <c r="LUK186" s="7"/>
      <c r="LUL186" s="7"/>
      <c r="LUM186" s="7"/>
      <c r="LUN186" s="7"/>
      <c r="LUO186" s="7"/>
      <c r="LUP186" s="7"/>
      <c r="LUQ186" s="7"/>
      <c r="LUR186" s="7"/>
      <c r="LUS186" s="7"/>
      <c r="LUT186" s="7"/>
      <c r="LUU186" s="7"/>
      <c r="LUV186" s="7"/>
      <c r="LUW186" s="7"/>
      <c r="LUX186" s="7"/>
      <c r="LUY186" s="7"/>
      <c r="LUZ186" s="7"/>
      <c r="LVA186" s="7"/>
      <c r="LVB186" s="7"/>
      <c r="LVC186" s="7"/>
      <c r="LVD186" s="7"/>
      <c r="LVE186" s="7"/>
      <c r="LVF186" s="7"/>
      <c r="LVG186" s="7"/>
      <c r="LVH186" s="7"/>
      <c r="LVI186" s="7"/>
      <c r="LVJ186" s="7"/>
      <c r="LVK186" s="7"/>
      <c r="LVL186" s="7"/>
      <c r="LVM186" s="7"/>
      <c r="LVN186" s="7"/>
      <c r="LVO186" s="7"/>
      <c r="LVP186" s="7"/>
      <c r="LVQ186" s="7"/>
      <c r="LVR186" s="7"/>
      <c r="LVS186" s="7"/>
      <c r="LVT186" s="7"/>
      <c r="LVU186" s="7"/>
      <c r="LVV186" s="7"/>
      <c r="LVW186" s="7"/>
      <c r="LVX186" s="7"/>
      <c r="LVY186" s="7"/>
      <c r="LVZ186" s="7"/>
      <c r="LWA186" s="7"/>
      <c r="LWB186" s="7"/>
      <c r="LWC186" s="7"/>
      <c r="LWD186" s="7"/>
      <c r="LWE186" s="7"/>
      <c r="LWF186" s="7"/>
      <c r="LWG186" s="7"/>
      <c r="LWH186" s="7"/>
      <c r="LWI186" s="7"/>
      <c r="LWJ186" s="7"/>
      <c r="LWK186" s="7"/>
      <c r="LWL186" s="7"/>
      <c r="LWM186" s="7"/>
      <c r="LWN186" s="7"/>
      <c r="LWO186" s="7"/>
      <c r="LWP186" s="7"/>
      <c r="LWQ186" s="7"/>
      <c r="LWR186" s="7"/>
      <c r="LWS186" s="7"/>
      <c r="LWT186" s="7"/>
      <c r="LWU186" s="7"/>
      <c r="LWV186" s="7"/>
      <c r="LWW186" s="7"/>
      <c r="LWX186" s="7"/>
      <c r="LWY186" s="7"/>
      <c r="LWZ186" s="7"/>
      <c r="LXA186" s="7"/>
      <c r="LXB186" s="7"/>
      <c r="LXC186" s="7"/>
      <c r="LXD186" s="7"/>
      <c r="LXE186" s="7"/>
      <c r="LXF186" s="7"/>
      <c r="LXG186" s="7"/>
      <c r="LXH186" s="7"/>
      <c r="LXI186" s="7"/>
      <c r="LXJ186" s="7"/>
      <c r="LXK186" s="7"/>
      <c r="LXL186" s="7"/>
      <c r="LXM186" s="7"/>
      <c r="LXN186" s="7"/>
      <c r="LXO186" s="7"/>
      <c r="LXP186" s="7"/>
      <c r="LXQ186" s="7"/>
      <c r="LXR186" s="7"/>
      <c r="LXS186" s="7"/>
      <c r="LXT186" s="7"/>
      <c r="LXU186" s="7"/>
      <c r="LXV186" s="7"/>
      <c r="LXW186" s="7"/>
      <c r="LXX186" s="7"/>
      <c r="LXY186" s="7"/>
      <c r="LXZ186" s="7"/>
      <c r="LYA186" s="7"/>
      <c r="LYB186" s="7"/>
      <c r="LYC186" s="7"/>
      <c r="LYD186" s="7"/>
      <c r="LYE186" s="7"/>
      <c r="LYF186" s="7"/>
      <c r="LYG186" s="7"/>
      <c r="LYH186" s="7"/>
      <c r="LYI186" s="7"/>
      <c r="LYJ186" s="7"/>
      <c r="LYK186" s="7"/>
      <c r="LYL186" s="7"/>
      <c r="LYM186" s="7"/>
      <c r="LYN186" s="7"/>
      <c r="LYO186" s="7"/>
      <c r="LYP186" s="7"/>
      <c r="LYQ186" s="7"/>
      <c r="LYR186" s="7"/>
      <c r="LYS186" s="7"/>
      <c r="LYT186" s="7"/>
      <c r="LYU186" s="7"/>
      <c r="LYV186" s="7"/>
      <c r="LYW186" s="7"/>
      <c r="LYX186" s="7"/>
      <c r="LYY186" s="7"/>
      <c r="LYZ186" s="7"/>
      <c r="LZA186" s="7"/>
      <c r="LZB186" s="7"/>
      <c r="LZC186" s="7"/>
      <c r="LZD186" s="7"/>
      <c r="LZE186" s="7"/>
      <c r="LZF186" s="7"/>
      <c r="LZG186" s="7"/>
      <c r="LZH186" s="7"/>
      <c r="LZI186" s="7"/>
      <c r="LZJ186" s="7"/>
      <c r="LZK186" s="7"/>
      <c r="LZL186" s="7"/>
      <c r="LZM186" s="7"/>
      <c r="LZN186" s="7"/>
      <c r="LZO186" s="7"/>
      <c r="LZP186" s="7"/>
      <c r="LZQ186" s="7"/>
      <c r="LZR186" s="7"/>
      <c r="LZS186" s="7"/>
      <c r="LZT186" s="7"/>
      <c r="LZU186" s="7"/>
      <c r="LZV186" s="7"/>
      <c r="LZW186" s="7"/>
      <c r="LZX186" s="7"/>
      <c r="LZY186" s="7"/>
      <c r="LZZ186" s="7"/>
      <c r="MAA186" s="7"/>
      <c r="MAB186" s="7"/>
      <c r="MAC186" s="7"/>
      <c r="MAD186" s="7"/>
      <c r="MAE186" s="7"/>
      <c r="MAF186" s="7"/>
      <c r="MAG186" s="7"/>
      <c r="MAH186" s="7"/>
      <c r="MAI186" s="7"/>
      <c r="MAJ186" s="7"/>
      <c r="MAK186" s="7"/>
      <c r="MAL186" s="7"/>
      <c r="MAM186" s="7"/>
      <c r="MAN186" s="7"/>
      <c r="MAO186" s="7"/>
      <c r="MAP186" s="7"/>
      <c r="MAQ186" s="7"/>
      <c r="MAR186" s="7"/>
      <c r="MAS186" s="7"/>
      <c r="MAT186" s="7"/>
      <c r="MAU186" s="7"/>
      <c r="MAV186" s="7"/>
      <c r="MAW186" s="7"/>
      <c r="MAX186" s="7"/>
      <c r="MAY186" s="7"/>
      <c r="MAZ186" s="7"/>
      <c r="MBA186" s="7"/>
      <c r="MBB186" s="7"/>
      <c r="MBC186" s="7"/>
      <c r="MBD186" s="7"/>
      <c r="MBE186" s="7"/>
      <c r="MBF186" s="7"/>
      <c r="MBG186" s="7"/>
      <c r="MBH186" s="7"/>
      <c r="MBI186" s="7"/>
      <c r="MBJ186" s="7"/>
      <c r="MBK186" s="7"/>
      <c r="MBL186" s="7"/>
      <c r="MBM186" s="7"/>
      <c r="MBN186" s="7"/>
      <c r="MBO186" s="7"/>
      <c r="MBP186" s="7"/>
      <c r="MBQ186" s="7"/>
      <c r="MBR186" s="7"/>
      <c r="MBS186" s="7"/>
      <c r="MBT186" s="7"/>
      <c r="MBU186" s="7"/>
      <c r="MBV186" s="7"/>
      <c r="MBW186" s="7"/>
      <c r="MBX186" s="7"/>
      <c r="MBY186" s="7"/>
      <c r="MBZ186" s="7"/>
      <c r="MCA186" s="7"/>
      <c r="MCB186" s="7"/>
      <c r="MCC186" s="7"/>
      <c r="MCD186" s="7"/>
      <c r="MCE186" s="7"/>
      <c r="MCF186" s="7"/>
      <c r="MCG186" s="7"/>
      <c r="MCH186" s="7"/>
      <c r="MCI186" s="7"/>
      <c r="MCJ186" s="7"/>
      <c r="MCK186" s="7"/>
      <c r="MCL186" s="7"/>
      <c r="MCM186" s="7"/>
      <c r="MCN186" s="7"/>
      <c r="MCO186" s="7"/>
      <c r="MCP186" s="7"/>
      <c r="MCQ186" s="7"/>
      <c r="MCR186" s="7"/>
      <c r="MCS186" s="7"/>
      <c r="MCT186" s="7"/>
      <c r="MCU186" s="7"/>
      <c r="MCV186" s="7"/>
      <c r="MCW186" s="7"/>
      <c r="MCX186" s="7"/>
      <c r="MCY186" s="7"/>
      <c r="MCZ186" s="7"/>
      <c r="MDA186" s="7"/>
      <c r="MDB186" s="7"/>
      <c r="MDC186" s="7"/>
      <c r="MDD186" s="7"/>
      <c r="MDE186" s="7"/>
      <c r="MDF186" s="7"/>
      <c r="MDG186" s="7"/>
      <c r="MDH186" s="7"/>
      <c r="MDI186" s="7"/>
      <c r="MDJ186" s="7"/>
      <c r="MDK186" s="7"/>
      <c r="MDL186" s="7"/>
      <c r="MDM186" s="7"/>
      <c r="MDN186" s="7"/>
      <c r="MDO186" s="7"/>
      <c r="MDP186" s="7"/>
      <c r="MDQ186" s="7"/>
      <c r="MDR186" s="7"/>
      <c r="MDS186" s="7"/>
      <c r="MDT186" s="7"/>
      <c r="MDU186" s="7"/>
      <c r="MDV186" s="7"/>
      <c r="MDW186" s="7"/>
      <c r="MDX186" s="7"/>
      <c r="MDY186" s="7"/>
      <c r="MDZ186" s="7"/>
      <c r="MEA186" s="7"/>
      <c r="MEB186" s="7"/>
      <c r="MEC186" s="7"/>
      <c r="MED186" s="7"/>
      <c r="MEE186" s="7"/>
      <c r="MEF186" s="7"/>
      <c r="MEG186" s="7"/>
      <c r="MEH186" s="7"/>
      <c r="MEI186" s="7"/>
      <c r="MEJ186" s="7"/>
      <c r="MEK186" s="7"/>
      <c r="MEL186" s="7"/>
      <c r="MEM186" s="7"/>
      <c r="MEN186" s="7"/>
      <c r="MEO186" s="7"/>
      <c r="MEP186" s="7"/>
      <c r="MEQ186" s="7"/>
      <c r="MER186" s="7"/>
      <c r="MES186" s="7"/>
      <c r="MET186" s="7"/>
      <c r="MEU186" s="7"/>
      <c r="MEV186" s="7"/>
      <c r="MEW186" s="7"/>
      <c r="MEX186" s="7"/>
      <c r="MEY186" s="7"/>
      <c r="MEZ186" s="7"/>
      <c r="MFA186" s="7"/>
      <c r="MFB186" s="7"/>
      <c r="MFC186" s="7"/>
      <c r="MFD186" s="7"/>
      <c r="MFE186" s="7"/>
      <c r="MFF186" s="7"/>
      <c r="MFG186" s="7"/>
      <c r="MFH186" s="7"/>
      <c r="MFI186" s="7"/>
      <c r="MFJ186" s="7"/>
      <c r="MFK186" s="7"/>
      <c r="MFL186" s="7"/>
      <c r="MFM186" s="7"/>
      <c r="MFN186" s="7"/>
      <c r="MFO186" s="7"/>
      <c r="MFP186" s="7"/>
      <c r="MFQ186" s="7"/>
      <c r="MFR186" s="7"/>
      <c r="MFS186" s="7"/>
      <c r="MFT186" s="7"/>
      <c r="MFU186" s="7"/>
      <c r="MFV186" s="7"/>
      <c r="MFW186" s="7"/>
      <c r="MFX186" s="7"/>
      <c r="MFY186" s="7"/>
      <c r="MFZ186" s="7"/>
      <c r="MGA186" s="7"/>
      <c r="MGB186" s="7"/>
      <c r="MGC186" s="7"/>
      <c r="MGD186" s="7"/>
      <c r="MGE186" s="7"/>
      <c r="MGF186" s="7"/>
      <c r="MGG186" s="7"/>
      <c r="MGH186" s="7"/>
      <c r="MGI186" s="7"/>
      <c r="MGJ186" s="7"/>
      <c r="MGK186" s="7"/>
      <c r="MGL186" s="7"/>
      <c r="MGM186" s="7"/>
      <c r="MGN186" s="7"/>
      <c r="MGO186" s="7"/>
      <c r="MGP186" s="7"/>
      <c r="MGQ186" s="7"/>
      <c r="MGR186" s="7"/>
      <c r="MGS186" s="7"/>
      <c r="MGT186" s="7"/>
      <c r="MGU186" s="7"/>
      <c r="MGV186" s="7"/>
      <c r="MGW186" s="7"/>
      <c r="MGX186" s="7"/>
      <c r="MGY186" s="7"/>
      <c r="MGZ186" s="7"/>
      <c r="MHA186" s="7"/>
      <c r="MHB186" s="7"/>
      <c r="MHC186" s="7"/>
      <c r="MHD186" s="7"/>
      <c r="MHE186" s="7"/>
      <c r="MHF186" s="7"/>
      <c r="MHG186" s="7"/>
      <c r="MHH186" s="7"/>
      <c r="MHI186" s="7"/>
      <c r="MHJ186" s="7"/>
      <c r="MHK186" s="7"/>
      <c r="MHL186" s="7"/>
      <c r="MHM186" s="7"/>
      <c r="MHN186" s="7"/>
      <c r="MHO186" s="7"/>
      <c r="MHP186" s="7"/>
      <c r="MHQ186" s="7"/>
      <c r="MHR186" s="7"/>
      <c r="MHS186" s="7"/>
      <c r="MHT186" s="7"/>
      <c r="MHU186" s="7"/>
      <c r="MHV186" s="7"/>
      <c r="MHW186" s="7"/>
      <c r="MHX186" s="7"/>
      <c r="MHY186" s="7"/>
      <c r="MHZ186" s="7"/>
      <c r="MIA186" s="7"/>
      <c r="MIB186" s="7"/>
      <c r="MIC186" s="7"/>
      <c r="MID186" s="7"/>
      <c r="MIE186" s="7"/>
      <c r="MIF186" s="7"/>
      <c r="MIG186" s="7"/>
      <c r="MIH186" s="7"/>
      <c r="MII186" s="7"/>
      <c r="MIJ186" s="7"/>
      <c r="MIK186" s="7"/>
      <c r="MIL186" s="7"/>
      <c r="MIM186" s="7"/>
      <c r="MIN186" s="7"/>
      <c r="MIO186" s="7"/>
      <c r="MIP186" s="7"/>
      <c r="MIQ186" s="7"/>
      <c r="MIR186" s="7"/>
      <c r="MIS186" s="7"/>
      <c r="MIT186" s="7"/>
      <c r="MIU186" s="7"/>
      <c r="MIV186" s="7"/>
      <c r="MIW186" s="7"/>
      <c r="MIX186" s="7"/>
      <c r="MIY186" s="7"/>
      <c r="MIZ186" s="7"/>
      <c r="MJA186" s="7"/>
      <c r="MJB186" s="7"/>
      <c r="MJC186" s="7"/>
      <c r="MJD186" s="7"/>
      <c r="MJE186" s="7"/>
      <c r="MJF186" s="7"/>
      <c r="MJG186" s="7"/>
      <c r="MJH186" s="7"/>
      <c r="MJI186" s="7"/>
      <c r="MJJ186" s="7"/>
      <c r="MJK186" s="7"/>
      <c r="MJL186" s="7"/>
      <c r="MJM186" s="7"/>
      <c r="MJN186" s="7"/>
      <c r="MJO186" s="7"/>
      <c r="MJP186" s="7"/>
      <c r="MJQ186" s="7"/>
      <c r="MJR186" s="7"/>
      <c r="MJS186" s="7"/>
      <c r="MJT186" s="7"/>
      <c r="MJU186" s="7"/>
      <c r="MJV186" s="7"/>
      <c r="MJW186" s="7"/>
      <c r="MJX186" s="7"/>
      <c r="MJY186" s="7"/>
      <c r="MJZ186" s="7"/>
      <c r="MKA186" s="7"/>
      <c r="MKB186" s="7"/>
      <c r="MKC186" s="7"/>
      <c r="MKD186" s="7"/>
      <c r="MKE186" s="7"/>
      <c r="MKF186" s="7"/>
      <c r="MKG186" s="7"/>
      <c r="MKH186" s="7"/>
      <c r="MKI186" s="7"/>
      <c r="MKJ186" s="7"/>
      <c r="MKK186" s="7"/>
      <c r="MKL186" s="7"/>
      <c r="MKM186" s="7"/>
      <c r="MKN186" s="7"/>
      <c r="MKO186" s="7"/>
      <c r="MKP186" s="7"/>
      <c r="MKQ186" s="7"/>
      <c r="MKR186" s="7"/>
      <c r="MKS186" s="7"/>
      <c r="MKT186" s="7"/>
      <c r="MKU186" s="7"/>
      <c r="MKV186" s="7"/>
      <c r="MKW186" s="7"/>
      <c r="MKX186" s="7"/>
      <c r="MKY186" s="7"/>
      <c r="MKZ186" s="7"/>
      <c r="MLA186" s="7"/>
      <c r="MLB186" s="7"/>
      <c r="MLC186" s="7"/>
      <c r="MLD186" s="7"/>
      <c r="MLE186" s="7"/>
      <c r="MLF186" s="7"/>
      <c r="MLG186" s="7"/>
      <c r="MLH186" s="7"/>
      <c r="MLI186" s="7"/>
      <c r="MLJ186" s="7"/>
      <c r="MLK186" s="7"/>
      <c r="MLL186" s="7"/>
      <c r="MLM186" s="7"/>
      <c r="MLN186" s="7"/>
      <c r="MLO186" s="7"/>
      <c r="MLP186" s="7"/>
      <c r="MLQ186" s="7"/>
      <c r="MLR186" s="7"/>
      <c r="MLS186" s="7"/>
      <c r="MLT186" s="7"/>
      <c r="MLU186" s="7"/>
      <c r="MLV186" s="7"/>
      <c r="MLW186" s="7"/>
      <c r="MLX186" s="7"/>
      <c r="MLY186" s="7"/>
      <c r="MLZ186" s="7"/>
      <c r="MMA186" s="7"/>
      <c r="MMB186" s="7"/>
      <c r="MMC186" s="7"/>
      <c r="MMD186" s="7"/>
      <c r="MME186" s="7"/>
      <c r="MMF186" s="7"/>
      <c r="MMG186" s="7"/>
      <c r="MMH186" s="7"/>
      <c r="MMI186" s="7"/>
      <c r="MMJ186" s="7"/>
      <c r="MMK186" s="7"/>
      <c r="MML186" s="7"/>
      <c r="MMM186" s="7"/>
      <c r="MMN186" s="7"/>
      <c r="MMO186" s="7"/>
      <c r="MMP186" s="7"/>
      <c r="MMQ186" s="7"/>
      <c r="MMR186" s="7"/>
      <c r="MMS186" s="7"/>
      <c r="MMT186" s="7"/>
      <c r="MMU186" s="7"/>
      <c r="MMV186" s="7"/>
      <c r="MMW186" s="7"/>
      <c r="MMX186" s="7"/>
      <c r="MMY186" s="7"/>
      <c r="MMZ186" s="7"/>
      <c r="MNA186" s="7"/>
      <c r="MNB186" s="7"/>
      <c r="MNC186" s="7"/>
      <c r="MND186" s="7"/>
      <c r="MNE186" s="7"/>
      <c r="MNF186" s="7"/>
      <c r="MNG186" s="7"/>
      <c r="MNH186" s="7"/>
      <c r="MNI186" s="7"/>
      <c r="MNJ186" s="7"/>
      <c r="MNK186" s="7"/>
      <c r="MNL186" s="7"/>
      <c r="MNM186" s="7"/>
      <c r="MNN186" s="7"/>
      <c r="MNO186" s="7"/>
      <c r="MNP186" s="7"/>
      <c r="MNQ186" s="7"/>
      <c r="MNR186" s="7"/>
      <c r="MNS186" s="7"/>
      <c r="MNT186" s="7"/>
      <c r="MNU186" s="7"/>
      <c r="MNV186" s="7"/>
      <c r="MNW186" s="7"/>
      <c r="MNX186" s="7"/>
      <c r="MNY186" s="7"/>
      <c r="MNZ186" s="7"/>
      <c r="MOA186" s="7"/>
      <c r="MOB186" s="7"/>
      <c r="MOC186" s="7"/>
      <c r="MOD186" s="7"/>
      <c r="MOE186" s="7"/>
      <c r="MOF186" s="7"/>
      <c r="MOG186" s="7"/>
      <c r="MOH186" s="7"/>
      <c r="MOI186" s="7"/>
      <c r="MOJ186" s="7"/>
      <c r="MOK186" s="7"/>
      <c r="MOL186" s="7"/>
      <c r="MOM186" s="7"/>
      <c r="MON186" s="7"/>
      <c r="MOO186" s="7"/>
      <c r="MOP186" s="7"/>
      <c r="MOQ186" s="7"/>
      <c r="MOR186" s="7"/>
      <c r="MOS186" s="7"/>
      <c r="MOT186" s="7"/>
      <c r="MOU186" s="7"/>
      <c r="MOV186" s="7"/>
      <c r="MOW186" s="7"/>
      <c r="MOX186" s="7"/>
      <c r="MOY186" s="7"/>
      <c r="MOZ186" s="7"/>
      <c r="MPA186" s="7"/>
      <c r="MPB186" s="7"/>
      <c r="MPC186" s="7"/>
      <c r="MPD186" s="7"/>
      <c r="MPE186" s="7"/>
      <c r="MPF186" s="7"/>
      <c r="MPG186" s="7"/>
      <c r="MPH186" s="7"/>
      <c r="MPI186" s="7"/>
      <c r="MPJ186" s="7"/>
      <c r="MPK186" s="7"/>
      <c r="MPL186" s="7"/>
      <c r="MPM186" s="7"/>
      <c r="MPN186" s="7"/>
      <c r="MPO186" s="7"/>
      <c r="MPP186" s="7"/>
      <c r="MPQ186" s="7"/>
      <c r="MPR186" s="7"/>
      <c r="MPS186" s="7"/>
      <c r="MPT186" s="7"/>
      <c r="MPU186" s="7"/>
      <c r="MPV186" s="7"/>
      <c r="MPW186" s="7"/>
      <c r="MPX186" s="7"/>
      <c r="MPY186" s="7"/>
      <c r="MPZ186" s="7"/>
      <c r="MQA186" s="7"/>
      <c r="MQB186" s="7"/>
      <c r="MQC186" s="7"/>
      <c r="MQD186" s="7"/>
      <c r="MQE186" s="7"/>
      <c r="MQF186" s="7"/>
      <c r="MQG186" s="7"/>
      <c r="MQH186" s="7"/>
      <c r="MQI186" s="7"/>
      <c r="MQJ186" s="7"/>
      <c r="MQK186" s="7"/>
      <c r="MQL186" s="7"/>
      <c r="MQM186" s="7"/>
      <c r="MQN186" s="7"/>
      <c r="MQO186" s="7"/>
      <c r="MQP186" s="7"/>
      <c r="MQQ186" s="7"/>
      <c r="MQR186" s="7"/>
      <c r="MQS186" s="7"/>
      <c r="MQT186" s="7"/>
      <c r="MQU186" s="7"/>
      <c r="MQV186" s="7"/>
      <c r="MQW186" s="7"/>
      <c r="MQX186" s="7"/>
      <c r="MQY186" s="7"/>
      <c r="MQZ186" s="7"/>
      <c r="MRA186" s="7"/>
      <c r="MRB186" s="7"/>
      <c r="MRC186" s="7"/>
      <c r="MRD186" s="7"/>
      <c r="MRE186" s="7"/>
      <c r="MRF186" s="7"/>
      <c r="MRG186" s="7"/>
      <c r="MRH186" s="7"/>
      <c r="MRI186" s="7"/>
      <c r="MRJ186" s="7"/>
      <c r="MRK186" s="7"/>
      <c r="MRL186" s="7"/>
      <c r="MRM186" s="7"/>
      <c r="MRN186" s="7"/>
      <c r="MRO186" s="7"/>
      <c r="MRP186" s="7"/>
      <c r="MRQ186" s="7"/>
      <c r="MRR186" s="7"/>
      <c r="MRS186" s="7"/>
      <c r="MRT186" s="7"/>
      <c r="MRU186" s="7"/>
      <c r="MRV186" s="7"/>
      <c r="MRW186" s="7"/>
      <c r="MRX186" s="7"/>
      <c r="MRY186" s="7"/>
      <c r="MRZ186" s="7"/>
      <c r="MSA186" s="7"/>
      <c r="MSB186" s="7"/>
      <c r="MSC186" s="7"/>
      <c r="MSD186" s="7"/>
      <c r="MSE186" s="7"/>
      <c r="MSF186" s="7"/>
      <c r="MSG186" s="7"/>
      <c r="MSH186" s="7"/>
      <c r="MSI186" s="7"/>
      <c r="MSJ186" s="7"/>
      <c r="MSK186" s="7"/>
      <c r="MSL186" s="7"/>
      <c r="MSM186" s="7"/>
      <c r="MSN186" s="7"/>
      <c r="MSO186" s="7"/>
      <c r="MSP186" s="7"/>
      <c r="MSQ186" s="7"/>
      <c r="MSR186" s="7"/>
      <c r="MSS186" s="7"/>
      <c r="MST186" s="7"/>
      <c r="MSU186" s="7"/>
      <c r="MSV186" s="7"/>
      <c r="MSW186" s="7"/>
      <c r="MSX186" s="7"/>
      <c r="MSY186" s="7"/>
      <c r="MSZ186" s="7"/>
      <c r="MTA186" s="7"/>
      <c r="MTB186" s="7"/>
      <c r="MTC186" s="7"/>
      <c r="MTD186" s="7"/>
      <c r="MTE186" s="7"/>
      <c r="MTF186" s="7"/>
      <c r="MTG186" s="7"/>
      <c r="MTH186" s="7"/>
      <c r="MTI186" s="7"/>
      <c r="MTJ186" s="7"/>
      <c r="MTK186" s="7"/>
      <c r="MTL186" s="7"/>
      <c r="MTM186" s="7"/>
      <c r="MTN186" s="7"/>
      <c r="MTO186" s="7"/>
      <c r="MTP186" s="7"/>
      <c r="MTQ186" s="7"/>
      <c r="MTR186" s="7"/>
      <c r="MTS186" s="7"/>
      <c r="MTT186" s="7"/>
      <c r="MTU186" s="7"/>
      <c r="MTV186" s="7"/>
      <c r="MTW186" s="7"/>
      <c r="MTX186" s="7"/>
      <c r="MTY186" s="7"/>
      <c r="MTZ186" s="7"/>
      <c r="MUA186" s="7"/>
      <c r="MUB186" s="7"/>
      <c r="MUC186" s="7"/>
      <c r="MUD186" s="7"/>
      <c r="MUE186" s="7"/>
      <c r="MUF186" s="7"/>
      <c r="MUG186" s="7"/>
      <c r="MUH186" s="7"/>
      <c r="MUI186" s="7"/>
      <c r="MUJ186" s="7"/>
      <c r="MUK186" s="7"/>
      <c r="MUL186" s="7"/>
      <c r="MUM186" s="7"/>
      <c r="MUN186" s="7"/>
      <c r="MUO186" s="7"/>
      <c r="MUP186" s="7"/>
      <c r="MUQ186" s="7"/>
      <c r="MUR186" s="7"/>
      <c r="MUS186" s="7"/>
      <c r="MUT186" s="7"/>
      <c r="MUU186" s="7"/>
      <c r="MUV186" s="7"/>
      <c r="MUW186" s="7"/>
      <c r="MUX186" s="7"/>
      <c r="MUY186" s="7"/>
      <c r="MUZ186" s="7"/>
      <c r="MVA186" s="7"/>
      <c r="MVB186" s="7"/>
      <c r="MVC186" s="7"/>
      <c r="MVD186" s="7"/>
      <c r="MVE186" s="7"/>
      <c r="MVF186" s="7"/>
      <c r="MVG186" s="7"/>
      <c r="MVH186" s="7"/>
      <c r="MVI186" s="7"/>
      <c r="MVJ186" s="7"/>
      <c r="MVK186" s="7"/>
      <c r="MVL186" s="7"/>
      <c r="MVM186" s="7"/>
      <c r="MVN186" s="7"/>
      <c r="MVO186" s="7"/>
      <c r="MVP186" s="7"/>
      <c r="MVQ186" s="7"/>
      <c r="MVR186" s="7"/>
      <c r="MVS186" s="7"/>
      <c r="MVT186" s="7"/>
      <c r="MVU186" s="7"/>
      <c r="MVV186" s="7"/>
      <c r="MVW186" s="7"/>
      <c r="MVX186" s="7"/>
      <c r="MVY186" s="7"/>
      <c r="MVZ186" s="7"/>
      <c r="MWA186" s="7"/>
      <c r="MWB186" s="7"/>
      <c r="MWC186" s="7"/>
      <c r="MWD186" s="7"/>
      <c r="MWE186" s="7"/>
      <c r="MWF186" s="7"/>
      <c r="MWG186" s="7"/>
      <c r="MWH186" s="7"/>
      <c r="MWI186" s="7"/>
      <c r="MWJ186" s="7"/>
      <c r="MWK186" s="7"/>
      <c r="MWL186" s="7"/>
      <c r="MWM186" s="7"/>
      <c r="MWN186" s="7"/>
      <c r="MWO186" s="7"/>
      <c r="MWP186" s="7"/>
      <c r="MWQ186" s="7"/>
      <c r="MWR186" s="7"/>
      <c r="MWS186" s="7"/>
      <c r="MWT186" s="7"/>
      <c r="MWU186" s="7"/>
      <c r="MWV186" s="7"/>
      <c r="MWW186" s="7"/>
      <c r="MWX186" s="7"/>
      <c r="MWY186" s="7"/>
      <c r="MWZ186" s="7"/>
      <c r="MXA186" s="7"/>
      <c r="MXB186" s="7"/>
      <c r="MXC186" s="7"/>
      <c r="MXD186" s="7"/>
      <c r="MXE186" s="7"/>
      <c r="MXF186" s="7"/>
      <c r="MXG186" s="7"/>
      <c r="MXH186" s="7"/>
      <c r="MXI186" s="7"/>
      <c r="MXJ186" s="7"/>
      <c r="MXK186" s="7"/>
      <c r="MXL186" s="7"/>
      <c r="MXM186" s="7"/>
      <c r="MXN186" s="7"/>
      <c r="MXO186" s="7"/>
      <c r="MXP186" s="7"/>
      <c r="MXQ186" s="7"/>
      <c r="MXR186" s="7"/>
      <c r="MXS186" s="7"/>
      <c r="MXT186" s="7"/>
      <c r="MXU186" s="7"/>
      <c r="MXV186" s="7"/>
      <c r="MXW186" s="7"/>
      <c r="MXX186" s="7"/>
      <c r="MXY186" s="7"/>
      <c r="MXZ186" s="7"/>
      <c r="MYA186" s="7"/>
      <c r="MYB186" s="7"/>
      <c r="MYC186" s="7"/>
      <c r="MYD186" s="7"/>
      <c r="MYE186" s="7"/>
      <c r="MYF186" s="7"/>
      <c r="MYG186" s="7"/>
      <c r="MYH186" s="7"/>
      <c r="MYI186" s="7"/>
      <c r="MYJ186" s="7"/>
      <c r="MYK186" s="7"/>
      <c r="MYL186" s="7"/>
      <c r="MYM186" s="7"/>
      <c r="MYN186" s="7"/>
      <c r="MYO186" s="7"/>
      <c r="MYP186" s="7"/>
      <c r="MYQ186" s="7"/>
      <c r="MYR186" s="7"/>
      <c r="MYS186" s="7"/>
      <c r="MYT186" s="7"/>
      <c r="MYU186" s="7"/>
      <c r="MYV186" s="7"/>
      <c r="MYW186" s="7"/>
      <c r="MYX186" s="7"/>
      <c r="MYY186" s="7"/>
      <c r="MYZ186" s="7"/>
      <c r="MZA186" s="7"/>
      <c r="MZB186" s="7"/>
      <c r="MZC186" s="7"/>
      <c r="MZD186" s="7"/>
      <c r="MZE186" s="7"/>
      <c r="MZF186" s="7"/>
      <c r="MZG186" s="7"/>
      <c r="MZH186" s="7"/>
      <c r="MZI186" s="7"/>
      <c r="MZJ186" s="7"/>
      <c r="MZK186" s="7"/>
      <c r="MZL186" s="7"/>
      <c r="MZM186" s="7"/>
      <c r="MZN186" s="7"/>
      <c r="MZO186" s="7"/>
      <c r="MZP186" s="7"/>
      <c r="MZQ186" s="7"/>
      <c r="MZR186" s="7"/>
      <c r="MZS186" s="7"/>
      <c r="MZT186" s="7"/>
      <c r="MZU186" s="7"/>
      <c r="MZV186" s="7"/>
      <c r="MZW186" s="7"/>
      <c r="MZX186" s="7"/>
      <c r="MZY186" s="7"/>
      <c r="MZZ186" s="7"/>
      <c r="NAA186" s="7"/>
      <c r="NAB186" s="7"/>
      <c r="NAC186" s="7"/>
      <c r="NAD186" s="7"/>
      <c r="NAE186" s="7"/>
      <c r="NAF186" s="7"/>
      <c r="NAG186" s="7"/>
      <c r="NAH186" s="7"/>
      <c r="NAI186" s="7"/>
      <c r="NAJ186" s="7"/>
      <c r="NAK186" s="7"/>
      <c r="NAL186" s="7"/>
      <c r="NAM186" s="7"/>
      <c r="NAN186" s="7"/>
      <c r="NAO186" s="7"/>
      <c r="NAP186" s="7"/>
      <c r="NAQ186" s="7"/>
      <c r="NAR186" s="7"/>
      <c r="NAS186" s="7"/>
      <c r="NAT186" s="7"/>
      <c r="NAU186" s="7"/>
      <c r="NAV186" s="7"/>
      <c r="NAW186" s="7"/>
      <c r="NAX186" s="7"/>
      <c r="NAY186" s="7"/>
      <c r="NAZ186" s="7"/>
      <c r="NBA186" s="7"/>
      <c r="NBB186" s="7"/>
      <c r="NBC186" s="7"/>
      <c r="NBD186" s="7"/>
      <c r="NBE186" s="7"/>
      <c r="NBF186" s="7"/>
      <c r="NBG186" s="7"/>
      <c r="NBH186" s="7"/>
      <c r="NBI186" s="7"/>
      <c r="NBJ186" s="7"/>
      <c r="NBK186" s="7"/>
      <c r="NBL186" s="7"/>
      <c r="NBM186" s="7"/>
      <c r="NBN186" s="7"/>
      <c r="NBO186" s="7"/>
      <c r="NBP186" s="7"/>
      <c r="NBQ186" s="7"/>
      <c r="NBR186" s="7"/>
      <c r="NBS186" s="7"/>
      <c r="NBT186" s="7"/>
      <c r="NBU186" s="7"/>
      <c r="NBV186" s="7"/>
      <c r="NBW186" s="7"/>
      <c r="NBX186" s="7"/>
      <c r="NBY186" s="7"/>
      <c r="NBZ186" s="7"/>
      <c r="NCA186" s="7"/>
      <c r="NCB186" s="7"/>
      <c r="NCC186" s="7"/>
      <c r="NCD186" s="7"/>
      <c r="NCE186" s="7"/>
      <c r="NCF186" s="7"/>
      <c r="NCG186" s="7"/>
      <c r="NCH186" s="7"/>
      <c r="NCI186" s="7"/>
      <c r="NCJ186" s="7"/>
      <c r="NCK186" s="7"/>
      <c r="NCL186" s="7"/>
      <c r="NCM186" s="7"/>
      <c r="NCN186" s="7"/>
      <c r="NCO186" s="7"/>
      <c r="NCP186" s="7"/>
      <c r="NCQ186" s="7"/>
      <c r="NCR186" s="7"/>
      <c r="NCS186" s="7"/>
      <c r="NCT186" s="7"/>
      <c r="NCU186" s="7"/>
      <c r="NCV186" s="7"/>
      <c r="NCW186" s="7"/>
      <c r="NCX186" s="7"/>
      <c r="NCY186" s="7"/>
      <c r="NCZ186" s="7"/>
      <c r="NDA186" s="7"/>
      <c r="NDB186" s="7"/>
      <c r="NDC186" s="7"/>
      <c r="NDD186" s="7"/>
      <c r="NDE186" s="7"/>
      <c r="NDF186" s="7"/>
      <c r="NDG186" s="7"/>
      <c r="NDH186" s="7"/>
      <c r="NDI186" s="7"/>
      <c r="NDJ186" s="7"/>
      <c r="NDK186" s="7"/>
      <c r="NDL186" s="7"/>
      <c r="NDM186" s="7"/>
      <c r="NDN186" s="7"/>
      <c r="NDO186" s="7"/>
      <c r="NDP186" s="7"/>
      <c r="NDQ186" s="7"/>
      <c r="NDR186" s="7"/>
      <c r="NDS186" s="7"/>
      <c r="NDT186" s="7"/>
      <c r="NDU186" s="7"/>
      <c r="NDV186" s="7"/>
      <c r="NDW186" s="7"/>
      <c r="NDX186" s="7"/>
      <c r="NDY186" s="7"/>
      <c r="NDZ186" s="7"/>
      <c r="NEA186" s="7"/>
      <c r="NEB186" s="7"/>
      <c r="NEC186" s="7"/>
      <c r="NED186" s="7"/>
      <c r="NEE186" s="7"/>
      <c r="NEF186" s="7"/>
      <c r="NEG186" s="7"/>
      <c r="NEH186" s="7"/>
      <c r="NEI186" s="7"/>
      <c r="NEJ186" s="7"/>
      <c r="NEK186" s="7"/>
      <c r="NEL186" s="7"/>
      <c r="NEM186" s="7"/>
      <c r="NEN186" s="7"/>
      <c r="NEO186" s="7"/>
      <c r="NEP186" s="7"/>
      <c r="NEQ186" s="7"/>
      <c r="NER186" s="7"/>
      <c r="NES186" s="7"/>
      <c r="NET186" s="7"/>
      <c r="NEU186" s="7"/>
      <c r="NEV186" s="7"/>
      <c r="NEW186" s="7"/>
      <c r="NEX186" s="7"/>
      <c r="NEY186" s="7"/>
      <c r="NEZ186" s="7"/>
      <c r="NFA186" s="7"/>
      <c r="NFB186" s="7"/>
      <c r="NFC186" s="7"/>
      <c r="NFD186" s="7"/>
      <c r="NFE186" s="7"/>
      <c r="NFF186" s="7"/>
      <c r="NFG186" s="7"/>
      <c r="NFH186" s="7"/>
      <c r="NFI186" s="7"/>
      <c r="NFJ186" s="7"/>
      <c r="NFK186" s="7"/>
      <c r="NFL186" s="7"/>
      <c r="NFM186" s="7"/>
      <c r="NFN186" s="7"/>
      <c r="NFO186" s="7"/>
      <c r="NFP186" s="7"/>
      <c r="NFQ186" s="7"/>
      <c r="NFR186" s="7"/>
      <c r="NFS186" s="7"/>
      <c r="NFT186" s="7"/>
      <c r="NFU186" s="7"/>
      <c r="NFV186" s="7"/>
      <c r="NFW186" s="7"/>
      <c r="NFX186" s="7"/>
      <c r="NFY186" s="7"/>
      <c r="NFZ186" s="7"/>
      <c r="NGA186" s="7"/>
      <c r="NGB186" s="7"/>
      <c r="NGC186" s="7"/>
      <c r="NGD186" s="7"/>
      <c r="NGE186" s="7"/>
      <c r="NGF186" s="7"/>
      <c r="NGG186" s="7"/>
      <c r="NGH186" s="7"/>
      <c r="NGI186" s="7"/>
      <c r="NGJ186" s="7"/>
      <c r="NGK186" s="7"/>
      <c r="NGL186" s="7"/>
      <c r="NGM186" s="7"/>
      <c r="NGN186" s="7"/>
      <c r="NGO186" s="7"/>
      <c r="NGP186" s="7"/>
      <c r="NGQ186" s="7"/>
      <c r="NGR186" s="7"/>
      <c r="NGS186" s="7"/>
      <c r="NGT186" s="7"/>
      <c r="NGU186" s="7"/>
      <c r="NGV186" s="7"/>
      <c r="NGW186" s="7"/>
      <c r="NGX186" s="7"/>
      <c r="NGY186" s="7"/>
      <c r="NGZ186" s="7"/>
      <c r="NHA186" s="7"/>
      <c r="NHB186" s="7"/>
      <c r="NHC186" s="7"/>
      <c r="NHD186" s="7"/>
      <c r="NHE186" s="7"/>
      <c r="NHF186" s="7"/>
      <c r="NHG186" s="7"/>
      <c r="NHH186" s="7"/>
      <c r="NHI186" s="7"/>
      <c r="NHJ186" s="7"/>
      <c r="NHK186" s="7"/>
      <c r="NHL186" s="7"/>
      <c r="NHM186" s="7"/>
      <c r="NHN186" s="7"/>
      <c r="NHO186" s="7"/>
      <c r="NHP186" s="7"/>
      <c r="NHQ186" s="7"/>
      <c r="NHR186" s="7"/>
      <c r="NHS186" s="7"/>
      <c r="NHT186" s="7"/>
      <c r="NHU186" s="7"/>
      <c r="NHV186" s="7"/>
      <c r="NHW186" s="7"/>
      <c r="NHX186" s="7"/>
      <c r="NHY186" s="7"/>
      <c r="NHZ186" s="7"/>
      <c r="NIA186" s="7"/>
      <c r="NIB186" s="7"/>
      <c r="NIC186" s="7"/>
      <c r="NID186" s="7"/>
      <c r="NIE186" s="7"/>
      <c r="NIF186" s="7"/>
      <c r="NIG186" s="7"/>
      <c r="NIH186" s="7"/>
      <c r="NII186" s="7"/>
      <c r="NIJ186" s="7"/>
      <c r="NIK186" s="7"/>
      <c r="NIL186" s="7"/>
      <c r="NIM186" s="7"/>
      <c r="NIN186" s="7"/>
      <c r="NIO186" s="7"/>
      <c r="NIP186" s="7"/>
      <c r="NIQ186" s="7"/>
      <c r="NIR186" s="7"/>
      <c r="NIS186" s="7"/>
      <c r="NIT186" s="7"/>
      <c r="NIU186" s="7"/>
      <c r="NIV186" s="7"/>
      <c r="NIW186" s="7"/>
      <c r="NIX186" s="7"/>
      <c r="NIY186" s="7"/>
      <c r="NIZ186" s="7"/>
      <c r="NJA186" s="7"/>
      <c r="NJB186" s="7"/>
      <c r="NJC186" s="7"/>
      <c r="NJD186" s="7"/>
      <c r="NJE186" s="7"/>
      <c r="NJF186" s="7"/>
      <c r="NJG186" s="7"/>
      <c r="NJH186" s="7"/>
      <c r="NJI186" s="7"/>
      <c r="NJJ186" s="7"/>
      <c r="NJK186" s="7"/>
      <c r="NJL186" s="7"/>
      <c r="NJM186" s="7"/>
      <c r="NJN186" s="7"/>
      <c r="NJO186" s="7"/>
      <c r="NJP186" s="7"/>
      <c r="NJQ186" s="7"/>
      <c r="NJR186" s="7"/>
      <c r="NJS186" s="7"/>
      <c r="NJT186" s="7"/>
      <c r="NJU186" s="7"/>
      <c r="NJV186" s="7"/>
      <c r="NJW186" s="7"/>
      <c r="NJX186" s="7"/>
      <c r="NJY186" s="7"/>
      <c r="NJZ186" s="7"/>
      <c r="NKA186" s="7"/>
      <c r="NKB186" s="7"/>
      <c r="NKC186" s="7"/>
      <c r="NKD186" s="7"/>
      <c r="NKE186" s="7"/>
      <c r="NKF186" s="7"/>
      <c r="NKG186" s="7"/>
      <c r="NKH186" s="7"/>
      <c r="NKI186" s="7"/>
      <c r="NKJ186" s="7"/>
      <c r="NKK186" s="7"/>
      <c r="NKL186" s="7"/>
      <c r="NKM186" s="7"/>
      <c r="NKN186" s="7"/>
      <c r="NKO186" s="7"/>
      <c r="NKP186" s="7"/>
      <c r="NKQ186" s="7"/>
      <c r="NKR186" s="7"/>
      <c r="NKS186" s="7"/>
      <c r="NKT186" s="7"/>
      <c r="NKU186" s="7"/>
      <c r="NKV186" s="7"/>
      <c r="NKW186" s="7"/>
      <c r="NKX186" s="7"/>
      <c r="NKY186" s="7"/>
      <c r="NKZ186" s="7"/>
      <c r="NLA186" s="7"/>
      <c r="NLB186" s="7"/>
      <c r="NLC186" s="7"/>
      <c r="NLD186" s="7"/>
      <c r="NLE186" s="7"/>
      <c r="NLF186" s="7"/>
      <c r="NLG186" s="7"/>
      <c r="NLH186" s="7"/>
      <c r="NLI186" s="7"/>
      <c r="NLJ186" s="7"/>
      <c r="NLK186" s="7"/>
      <c r="NLL186" s="7"/>
      <c r="NLM186" s="7"/>
      <c r="NLN186" s="7"/>
      <c r="NLO186" s="7"/>
      <c r="NLP186" s="7"/>
      <c r="NLQ186" s="7"/>
      <c r="NLR186" s="7"/>
      <c r="NLS186" s="7"/>
      <c r="NLT186" s="7"/>
      <c r="NLU186" s="7"/>
      <c r="NLV186" s="7"/>
      <c r="NLW186" s="7"/>
      <c r="NLX186" s="7"/>
      <c r="NLY186" s="7"/>
      <c r="NLZ186" s="7"/>
      <c r="NMA186" s="7"/>
      <c r="NMB186" s="7"/>
      <c r="NMC186" s="7"/>
      <c r="NMD186" s="7"/>
      <c r="NME186" s="7"/>
      <c r="NMF186" s="7"/>
      <c r="NMG186" s="7"/>
      <c r="NMH186" s="7"/>
      <c r="NMI186" s="7"/>
      <c r="NMJ186" s="7"/>
      <c r="NMK186" s="7"/>
      <c r="NML186" s="7"/>
      <c r="NMM186" s="7"/>
      <c r="NMN186" s="7"/>
      <c r="NMO186" s="7"/>
      <c r="NMP186" s="7"/>
      <c r="NMQ186" s="7"/>
      <c r="NMR186" s="7"/>
      <c r="NMS186" s="7"/>
      <c r="NMT186" s="7"/>
      <c r="NMU186" s="7"/>
      <c r="NMV186" s="7"/>
      <c r="NMW186" s="7"/>
      <c r="NMX186" s="7"/>
      <c r="NMY186" s="7"/>
      <c r="NMZ186" s="7"/>
      <c r="NNA186" s="7"/>
      <c r="NNB186" s="7"/>
      <c r="NNC186" s="7"/>
      <c r="NND186" s="7"/>
      <c r="NNE186" s="7"/>
      <c r="NNF186" s="7"/>
      <c r="NNG186" s="7"/>
      <c r="NNH186" s="7"/>
      <c r="NNI186" s="7"/>
      <c r="NNJ186" s="7"/>
      <c r="NNK186" s="7"/>
      <c r="NNL186" s="7"/>
      <c r="NNM186" s="7"/>
      <c r="NNN186" s="7"/>
      <c r="NNO186" s="7"/>
      <c r="NNP186" s="7"/>
      <c r="NNQ186" s="7"/>
      <c r="NNR186" s="7"/>
      <c r="NNS186" s="7"/>
      <c r="NNT186" s="7"/>
      <c r="NNU186" s="7"/>
      <c r="NNV186" s="7"/>
      <c r="NNW186" s="7"/>
      <c r="NNX186" s="7"/>
      <c r="NNY186" s="7"/>
      <c r="NNZ186" s="7"/>
      <c r="NOA186" s="7"/>
      <c r="NOB186" s="7"/>
      <c r="NOC186" s="7"/>
      <c r="NOD186" s="7"/>
      <c r="NOE186" s="7"/>
      <c r="NOF186" s="7"/>
      <c r="NOG186" s="7"/>
      <c r="NOH186" s="7"/>
      <c r="NOI186" s="7"/>
      <c r="NOJ186" s="7"/>
      <c r="NOK186" s="7"/>
      <c r="NOL186" s="7"/>
      <c r="NOM186" s="7"/>
      <c r="NON186" s="7"/>
      <c r="NOO186" s="7"/>
      <c r="NOP186" s="7"/>
      <c r="NOQ186" s="7"/>
      <c r="NOR186" s="7"/>
      <c r="NOS186" s="7"/>
      <c r="NOT186" s="7"/>
      <c r="NOU186" s="7"/>
      <c r="NOV186" s="7"/>
      <c r="NOW186" s="7"/>
      <c r="NOX186" s="7"/>
      <c r="NOY186" s="7"/>
      <c r="NOZ186" s="7"/>
      <c r="NPA186" s="7"/>
      <c r="NPB186" s="7"/>
      <c r="NPC186" s="7"/>
      <c r="NPD186" s="7"/>
      <c r="NPE186" s="7"/>
      <c r="NPF186" s="7"/>
      <c r="NPG186" s="7"/>
      <c r="NPH186" s="7"/>
      <c r="NPI186" s="7"/>
      <c r="NPJ186" s="7"/>
      <c r="NPK186" s="7"/>
      <c r="NPL186" s="7"/>
      <c r="NPM186" s="7"/>
      <c r="NPN186" s="7"/>
      <c r="NPO186" s="7"/>
      <c r="NPP186" s="7"/>
      <c r="NPQ186" s="7"/>
      <c r="NPR186" s="7"/>
      <c r="NPS186" s="7"/>
      <c r="NPT186" s="7"/>
      <c r="NPU186" s="7"/>
      <c r="NPV186" s="7"/>
      <c r="NPW186" s="7"/>
      <c r="NPX186" s="7"/>
      <c r="NPY186" s="7"/>
      <c r="NPZ186" s="7"/>
      <c r="NQA186" s="7"/>
      <c r="NQB186" s="7"/>
      <c r="NQC186" s="7"/>
      <c r="NQD186" s="7"/>
      <c r="NQE186" s="7"/>
      <c r="NQF186" s="7"/>
      <c r="NQG186" s="7"/>
      <c r="NQH186" s="7"/>
      <c r="NQI186" s="7"/>
      <c r="NQJ186" s="7"/>
      <c r="NQK186" s="7"/>
      <c r="NQL186" s="7"/>
      <c r="NQM186" s="7"/>
      <c r="NQN186" s="7"/>
      <c r="NQO186" s="7"/>
      <c r="NQP186" s="7"/>
      <c r="NQQ186" s="7"/>
      <c r="NQR186" s="7"/>
      <c r="NQS186" s="7"/>
      <c r="NQT186" s="7"/>
      <c r="NQU186" s="7"/>
      <c r="NQV186" s="7"/>
      <c r="NQW186" s="7"/>
      <c r="NQX186" s="7"/>
      <c r="NQY186" s="7"/>
      <c r="NQZ186" s="7"/>
      <c r="NRA186" s="7"/>
      <c r="NRB186" s="7"/>
      <c r="NRC186" s="7"/>
      <c r="NRD186" s="7"/>
      <c r="NRE186" s="7"/>
      <c r="NRF186" s="7"/>
      <c r="NRG186" s="7"/>
      <c r="NRH186" s="7"/>
      <c r="NRI186" s="7"/>
      <c r="NRJ186" s="7"/>
      <c r="NRK186" s="7"/>
      <c r="NRL186" s="7"/>
      <c r="NRM186" s="7"/>
      <c r="NRN186" s="7"/>
      <c r="NRO186" s="7"/>
      <c r="NRP186" s="7"/>
      <c r="NRQ186" s="7"/>
      <c r="NRR186" s="7"/>
      <c r="NRS186" s="7"/>
      <c r="NRT186" s="7"/>
      <c r="NRU186" s="7"/>
      <c r="NRV186" s="7"/>
      <c r="NRW186" s="7"/>
      <c r="NRX186" s="7"/>
      <c r="NRY186" s="7"/>
      <c r="NRZ186" s="7"/>
      <c r="NSA186" s="7"/>
      <c r="NSB186" s="7"/>
      <c r="NSC186" s="7"/>
      <c r="NSD186" s="7"/>
      <c r="NSE186" s="7"/>
      <c r="NSF186" s="7"/>
      <c r="NSG186" s="7"/>
      <c r="NSH186" s="7"/>
      <c r="NSI186" s="7"/>
      <c r="NSJ186" s="7"/>
      <c r="NSK186" s="7"/>
      <c r="NSL186" s="7"/>
      <c r="NSM186" s="7"/>
      <c r="NSN186" s="7"/>
      <c r="NSO186" s="7"/>
      <c r="NSP186" s="7"/>
      <c r="NSQ186" s="7"/>
      <c r="NSR186" s="7"/>
      <c r="NSS186" s="7"/>
      <c r="NST186" s="7"/>
      <c r="NSU186" s="7"/>
      <c r="NSV186" s="7"/>
      <c r="NSW186" s="7"/>
      <c r="NSX186" s="7"/>
      <c r="NSY186" s="7"/>
      <c r="NSZ186" s="7"/>
      <c r="NTA186" s="7"/>
      <c r="NTB186" s="7"/>
      <c r="NTC186" s="7"/>
      <c r="NTD186" s="7"/>
      <c r="NTE186" s="7"/>
      <c r="NTF186" s="7"/>
      <c r="NTG186" s="7"/>
      <c r="NTH186" s="7"/>
      <c r="NTI186" s="7"/>
      <c r="NTJ186" s="7"/>
      <c r="NTK186" s="7"/>
      <c r="NTL186" s="7"/>
      <c r="NTM186" s="7"/>
      <c r="NTN186" s="7"/>
      <c r="NTO186" s="7"/>
      <c r="NTP186" s="7"/>
      <c r="NTQ186" s="7"/>
      <c r="NTR186" s="7"/>
      <c r="NTS186" s="7"/>
      <c r="NTT186" s="7"/>
      <c r="NTU186" s="7"/>
      <c r="NTV186" s="7"/>
      <c r="NTW186" s="7"/>
      <c r="NTX186" s="7"/>
      <c r="NTY186" s="7"/>
      <c r="NTZ186" s="7"/>
      <c r="NUA186" s="7"/>
      <c r="NUB186" s="7"/>
      <c r="NUC186" s="7"/>
      <c r="NUD186" s="7"/>
      <c r="NUE186" s="7"/>
      <c r="NUF186" s="7"/>
      <c r="NUG186" s="7"/>
      <c r="NUH186" s="7"/>
      <c r="NUI186" s="7"/>
      <c r="NUJ186" s="7"/>
      <c r="NUK186" s="7"/>
      <c r="NUL186" s="7"/>
      <c r="NUM186" s="7"/>
      <c r="NUN186" s="7"/>
      <c r="NUO186" s="7"/>
      <c r="NUP186" s="7"/>
      <c r="NUQ186" s="7"/>
      <c r="NUR186" s="7"/>
      <c r="NUS186" s="7"/>
      <c r="NUT186" s="7"/>
      <c r="NUU186" s="7"/>
      <c r="NUV186" s="7"/>
      <c r="NUW186" s="7"/>
      <c r="NUX186" s="7"/>
      <c r="NUY186" s="7"/>
      <c r="NUZ186" s="7"/>
      <c r="NVA186" s="7"/>
      <c r="NVB186" s="7"/>
      <c r="NVC186" s="7"/>
      <c r="NVD186" s="7"/>
      <c r="NVE186" s="7"/>
      <c r="NVF186" s="7"/>
      <c r="NVG186" s="7"/>
      <c r="NVH186" s="7"/>
      <c r="NVI186" s="7"/>
      <c r="NVJ186" s="7"/>
      <c r="NVK186" s="7"/>
      <c r="NVL186" s="7"/>
      <c r="NVM186" s="7"/>
      <c r="NVN186" s="7"/>
      <c r="NVO186" s="7"/>
      <c r="NVP186" s="7"/>
      <c r="NVQ186" s="7"/>
      <c r="NVR186" s="7"/>
      <c r="NVS186" s="7"/>
      <c r="NVT186" s="7"/>
      <c r="NVU186" s="7"/>
      <c r="NVV186" s="7"/>
      <c r="NVW186" s="7"/>
      <c r="NVX186" s="7"/>
      <c r="NVY186" s="7"/>
      <c r="NVZ186" s="7"/>
      <c r="NWA186" s="7"/>
      <c r="NWB186" s="7"/>
      <c r="NWC186" s="7"/>
      <c r="NWD186" s="7"/>
      <c r="NWE186" s="7"/>
      <c r="NWF186" s="7"/>
      <c r="NWG186" s="7"/>
      <c r="NWH186" s="7"/>
      <c r="NWI186" s="7"/>
      <c r="NWJ186" s="7"/>
      <c r="NWK186" s="7"/>
      <c r="NWL186" s="7"/>
      <c r="NWM186" s="7"/>
      <c r="NWN186" s="7"/>
      <c r="NWO186" s="7"/>
      <c r="NWP186" s="7"/>
      <c r="NWQ186" s="7"/>
      <c r="NWR186" s="7"/>
      <c r="NWS186" s="7"/>
      <c r="NWT186" s="7"/>
      <c r="NWU186" s="7"/>
      <c r="NWV186" s="7"/>
      <c r="NWW186" s="7"/>
      <c r="NWX186" s="7"/>
      <c r="NWY186" s="7"/>
      <c r="NWZ186" s="7"/>
      <c r="NXA186" s="7"/>
      <c r="NXB186" s="7"/>
      <c r="NXC186" s="7"/>
      <c r="NXD186" s="7"/>
      <c r="NXE186" s="7"/>
      <c r="NXF186" s="7"/>
      <c r="NXG186" s="7"/>
      <c r="NXH186" s="7"/>
      <c r="NXI186" s="7"/>
      <c r="NXJ186" s="7"/>
      <c r="NXK186" s="7"/>
      <c r="NXL186" s="7"/>
      <c r="NXM186" s="7"/>
      <c r="NXN186" s="7"/>
      <c r="NXO186" s="7"/>
      <c r="NXP186" s="7"/>
      <c r="NXQ186" s="7"/>
      <c r="NXR186" s="7"/>
      <c r="NXS186" s="7"/>
      <c r="NXT186" s="7"/>
      <c r="NXU186" s="7"/>
      <c r="NXV186" s="7"/>
      <c r="NXW186" s="7"/>
      <c r="NXX186" s="7"/>
      <c r="NXY186" s="7"/>
      <c r="NXZ186" s="7"/>
      <c r="NYA186" s="7"/>
      <c r="NYB186" s="7"/>
      <c r="NYC186" s="7"/>
      <c r="NYD186" s="7"/>
      <c r="NYE186" s="7"/>
      <c r="NYF186" s="7"/>
      <c r="NYG186" s="7"/>
      <c r="NYH186" s="7"/>
      <c r="NYI186" s="7"/>
      <c r="NYJ186" s="7"/>
      <c r="NYK186" s="7"/>
      <c r="NYL186" s="7"/>
      <c r="NYM186" s="7"/>
      <c r="NYN186" s="7"/>
      <c r="NYO186" s="7"/>
      <c r="NYP186" s="7"/>
      <c r="NYQ186" s="7"/>
      <c r="NYR186" s="7"/>
      <c r="NYS186" s="7"/>
      <c r="NYT186" s="7"/>
      <c r="NYU186" s="7"/>
      <c r="NYV186" s="7"/>
      <c r="NYW186" s="7"/>
      <c r="NYX186" s="7"/>
      <c r="NYY186" s="7"/>
      <c r="NYZ186" s="7"/>
      <c r="NZA186" s="7"/>
      <c r="NZB186" s="7"/>
      <c r="NZC186" s="7"/>
      <c r="NZD186" s="7"/>
      <c r="NZE186" s="7"/>
      <c r="NZF186" s="7"/>
      <c r="NZG186" s="7"/>
      <c r="NZH186" s="7"/>
      <c r="NZI186" s="7"/>
      <c r="NZJ186" s="7"/>
      <c r="NZK186" s="7"/>
      <c r="NZL186" s="7"/>
      <c r="NZM186" s="7"/>
      <c r="NZN186" s="7"/>
      <c r="NZO186" s="7"/>
      <c r="NZP186" s="7"/>
      <c r="NZQ186" s="7"/>
      <c r="NZR186" s="7"/>
      <c r="NZS186" s="7"/>
      <c r="NZT186" s="7"/>
      <c r="NZU186" s="7"/>
      <c r="NZV186" s="7"/>
      <c r="NZW186" s="7"/>
      <c r="NZX186" s="7"/>
      <c r="NZY186" s="7"/>
      <c r="NZZ186" s="7"/>
      <c r="OAA186" s="7"/>
      <c r="OAB186" s="7"/>
      <c r="OAC186" s="7"/>
      <c r="OAD186" s="7"/>
      <c r="OAE186" s="7"/>
      <c r="OAF186" s="7"/>
      <c r="OAG186" s="7"/>
      <c r="OAH186" s="7"/>
      <c r="OAI186" s="7"/>
      <c r="OAJ186" s="7"/>
      <c r="OAK186" s="7"/>
      <c r="OAL186" s="7"/>
      <c r="OAM186" s="7"/>
      <c r="OAN186" s="7"/>
      <c r="OAO186" s="7"/>
      <c r="OAP186" s="7"/>
      <c r="OAQ186" s="7"/>
      <c r="OAR186" s="7"/>
      <c r="OAS186" s="7"/>
      <c r="OAT186" s="7"/>
      <c r="OAU186" s="7"/>
      <c r="OAV186" s="7"/>
      <c r="OAW186" s="7"/>
      <c r="OAX186" s="7"/>
      <c r="OAY186" s="7"/>
      <c r="OAZ186" s="7"/>
      <c r="OBA186" s="7"/>
      <c r="OBB186" s="7"/>
      <c r="OBC186" s="7"/>
      <c r="OBD186" s="7"/>
      <c r="OBE186" s="7"/>
      <c r="OBF186" s="7"/>
      <c r="OBG186" s="7"/>
      <c r="OBH186" s="7"/>
      <c r="OBI186" s="7"/>
      <c r="OBJ186" s="7"/>
      <c r="OBK186" s="7"/>
      <c r="OBL186" s="7"/>
      <c r="OBM186" s="7"/>
      <c r="OBN186" s="7"/>
      <c r="OBO186" s="7"/>
      <c r="OBP186" s="7"/>
      <c r="OBQ186" s="7"/>
      <c r="OBR186" s="7"/>
      <c r="OBS186" s="7"/>
      <c r="OBT186" s="7"/>
      <c r="OBU186" s="7"/>
      <c r="OBV186" s="7"/>
      <c r="OBW186" s="7"/>
      <c r="OBX186" s="7"/>
      <c r="OBY186" s="7"/>
      <c r="OBZ186" s="7"/>
      <c r="OCA186" s="7"/>
      <c r="OCB186" s="7"/>
      <c r="OCC186" s="7"/>
      <c r="OCD186" s="7"/>
      <c r="OCE186" s="7"/>
      <c r="OCF186" s="7"/>
      <c r="OCG186" s="7"/>
      <c r="OCH186" s="7"/>
      <c r="OCI186" s="7"/>
      <c r="OCJ186" s="7"/>
      <c r="OCK186" s="7"/>
      <c r="OCL186" s="7"/>
      <c r="OCM186" s="7"/>
      <c r="OCN186" s="7"/>
      <c r="OCO186" s="7"/>
      <c r="OCP186" s="7"/>
      <c r="OCQ186" s="7"/>
      <c r="OCR186" s="7"/>
      <c r="OCS186" s="7"/>
      <c r="OCT186" s="7"/>
      <c r="OCU186" s="7"/>
      <c r="OCV186" s="7"/>
      <c r="OCW186" s="7"/>
      <c r="OCX186" s="7"/>
      <c r="OCY186" s="7"/>
      <c r="OCZ186" s="7"/>
      <c r="ODA186" s="7"/>
      <c r="ODB186" s="7"/>
      <c r="ODC186" s="7"/>
      <c r="ODD186" s="7"/>
      <c r="ODE186" s="7"/>
      <c r="ODF186" s="7"/>
      <c r="ODG186" s="7"/>
      <c r="ODH186" s="7"/>
      <c r="ODI186" s="7"/>
      <c r="ODJ186" s="7"/>
      <c r="ODK186" s="7"/>
      <c r="ODL186" s="7"/>
      <c r="ODM186" s="7"/>
      <c r="ODN186" s="7"/>
      <c r="ODO186" s="7"/>
      <c r="ODP186" s="7"/>
      <c r="ODQ186" s="7"/>
      <c r="ODR186" s="7"/>
      <c r="ODS186" s="7"/>
      <c r="ODT186" s="7"/>
      <c r="ODU186" s="7"/>
      <c r="ODV186" s="7"/>
      <c r="ODW186" s="7"/>
      <c r="ODX186" s="7"/>
      <c r="ODY186" s="7"/>
      <c r="ODZ186" s="7"/>
      <c r="OEA186" s="7"/>
      <c r="OEB186" s="7"/>
      <c r="OEC186" s="7"/>
      <c r="OED186" s="7"/>
      <c r="OEE186" s="7"/>
      <c r="OEF186" s="7"/>
      <c r="OEG186" s="7"/>
      <c r="OEH186" s="7"/>
      <c r="OEI186" s="7"/>
      <c r="OEJ186" s="7"/>
      <c r="OEK186" s="7"/>
      <c r="OEL186" s="7"/>
      <c r="OEM186" s="7"/>
      <c r="OEN186" s="7"/>
      <c r="OEO186" s="7"/>
      <c r="OEP186" s="7"/>
      <c r="OEQ186" s="7"/>
      <c r="OER186" s="7"/>
      <c r="OES186" s="7"/>
      <c r="OET186" s="7"/>
      <c r="OEU186" s="7"/>
      <c r="OEV186" s="7"/>
      <c r="OEW186" s="7"/>
      <c r="OEX186" s="7"/>
      <c r="OEY186" s="7"/>
      <c r="OEZ186" s="7"/>
      <c r="OFA186" s="7"/>
      <c r="OFB186" s="7"/>
      <c r="OFC186" s="7"/>
      <c r="OFD186" s="7"/>
      <c r="OFE186" s="7"/>
      <c r="OFF186" s="7"/>
      <c r="OFG186" s="7"/>
      <c r="OFH186" s="7"/>
      <c r="OFI186" s="7"/>
      <c r="OFJ186" s="7"/>
      <c r="OFK186" s="7"/>
      <c r="OFL186" s="7"/>
      <c r="OFM186" s="7"/>
      <c r="OFN186" s="7"/>
      <c r="OFO186" s="7"/>
      <c r="OFP186" s="7"/>
      <c r="OFQ186" s="7"/>
      <c r="OFR186" s="7"/>
      <c r="OFS186" s="7"/>
      <c r="OFT186" s="7"/>
      <c r="OFU186" s="7"/>
      <c r="OFV186" s="7"/>
      <c r="OFW186" s="7"/>
      <c r="OFX186" s="7"/>
      <c r="OFY186" s="7"/>
      <c r="OFZ186" s="7"/>
      <c r="OGA186" s="7"/>
      <c r="OGB186" s="7"/>
      <c r="OGC186" s="7"/>
      <c r="OGD186" s="7"/>
      <c r="OGE186" s="7"/>
      <c r="OGF186" s="7"/>
      <c r="OGG186" s="7"/>
      <c r="OGH186" s="7"/>
      <c r="OGI186" s="7"/>
      <c r="OGJ186" s="7"/>
      <c r="OGK186" s="7"/>
      <c r="OGL186" s="7"/>
      <c r="OGM186" s="7"/>
      <c r="OGN186" s="7"/>
      <c r="OGO186" s="7"/>
      <c r="OGP186" s="7"/>
      <c r="OGQ186" s="7"/>
      <c r="OGR186" s="7"/>
      <c r="OGS186" s="7"/>
      <c r="OGT186" s="7"/>
      <c r="OGU186" s="7"/>
      <c r="OGV186" s="7"/>
      <c r="OGW186" s="7"/>
      <c r="OGX186" s="7"/>
      <c r="OGY186" s="7"/>
      <c r="OGZ186" s="7"/>
      <c r="OHA186" s="7"/>
      <c r="OHB186" s="7"/>
      <c r="OHC186" s="7"/>
      <c r="OHD186" s="7"/>
      <c r="OHE186" s="7"/>
      <c r="OHF186" s="7"/>
      <c r="OHG186" s="7"/>
      <c r="OHH186" s="7"/>
      <c r="OHI186" s="7"/>
      <c r="OHJ186" s="7"/>
      <c r="OHK186" s="7"/>
      <c r="OHL186" s="7"/>
      <c r="OHM186" s="7"/>
      <c r="OHN186" s="7"/>
      <c r="OHO186" s="7"/>
      <c r="OHP186" s="7"/>
      <c r="OHQ186" s="7"/>
      <c r="OHR186" s="7"/>
      <c r="OHS186" s="7"/>
      <c r="OHT186" s="7"/>
      <c r="OHU186" s="7"/>
      <c r="OHV186" s="7"/>
      <c r="OHW186" s="7"/>
      <c r="OHX186" s="7"/>
      <c r="OHY186" s="7"/>
      <c r="OHZ186" s="7"/>
      <c r="OIA186" s="7"/>
      <c r="OIB186" s="7"/>
      <c r="OIC186" s="7"/>
      <c r="OID186" s="7"/>
      <c r="OIE186" s="7"/>
      <c r="OIF186" s="7"/>
      <c r="OIG186" s="7"/>
      <c r="OIH186" s="7"/>
      <c r="OII186" s="7"/>
      <c r="OIJ186" s="7"/>
      <c r="OIK186" s="7"/>
      <c r="OIL186" s="7"/>
      <c r="OIM186" s="7"/>
      <c r="OIN186" s="7"/>
      <c r="OIO186" s="7"/>
      <c r="OIP186" s="7"/>
      <c r="OIQ186" s="7"/>
      <c r="OIR186" s="7"/>
      <c r="OIS186" s="7"/>
      <c r="OIT186" s="7"/>
      <c r="OIU186" s="7"/>
      <c r="OIV186" s="7"/>
      <c r="OIW186" s="7"/>
      <c r="OIX186" s="7"/>
      <c r="OIY186" s="7"/>
      <c r="OIZ186" s="7"/>
      <c r="OJA186" s="7"/>
      <c r="OJB186" s="7"/>
      <c r="OJC186" s="7"/>
      <c r="OJD186" s="7"/>
      <c r="OJE186" s="7"/>
      <c r="OJF186" s="7"/>
      <c r="OJG186" s="7"/>
      <c r="OJH186" s="7"/>
      <c r="OJI186" s="7"/>
      <c r="OJJ186" s="7"/>
      <c r="OJK186" s="7"/>
      <c r="OJL186" s="7"/>
      <c r="OJM186" s="7"/>
      <c r="OJN186" s="7"/>
      <c r="OJO186" s="7"/>
      <c r="OJP186" s="7"/>
      <c r="OJQ186" s="7"/>
      <c r="OJR186" s="7"/>
      <c r="OJS186" s="7"/>
      <c r="OJT186" s="7"/>
      <c r="OJU186" s="7"/>
      <c r="OJV186" s="7"/>
      <c r="OJW186" s="7"/>
      <c r="OJX186" s="7"/>
      <c r="OJY186" s="7"/>
      <c r="OJZ186" s="7"/>
      <c r="OKA186" s="7"/>
      <c r="OKB186" s="7"/>
      <c r="OKC186" s="7"/>
      <c r="OKD186" s="7"/>
      <c r="OKE186" s="7"/>
      <c r="OKF186" s="7"/>
      <c r="OKG186" s="7"/>
      <c r="OKH186" s="7"/>
      <c r="OKI186" s="7"/>
      <c r="OKJ186" s="7"/>
      <c r="OKK186" s="7"/>
      <c r="OKL186" s="7"/>
      <c r="OKM186" s="7"/>
      <c r="OKN186" s="7"/>
      <c r="OKO186" s="7"/>
      <c r="OKP186" s="7"/>
      <c r="OKQ186" s="7"/>
      <c r="OKR186" s="7"/>
      <c r="OKS186" s="7"/>
      <c r="OKT186" s="7"/>
      <c r="OKU186" s="7"/>
      <c r="OKV186" s="7"/>
      <c r="OKW186" s="7"/>
      <c r="OKX186" s="7"/>
      <c r="OKY186" s="7"/>
      <c r="OKZ186" s="7"/>
      <c r="OLA186" s="7"/>
      <c r="OLB186" s="7"/>
      <c r="OLC186" s="7"/>
      <c r="OLD186" s="7"/>
      <c r="OLE186" s="7"/>
      <c r="OLF186" s="7"/>
      <c r="OLG186" s="7"/>
      <c r="OLH186" s="7"/>
      <c r="OLI186" s="7"/>
      <c r="OLJ186" s="7"/>
      <c r="OLK186" s="7"/>
      <c r="OLL186" s="7"/>
      <c r="OLM186" s="7"/>
      <c r="OLN186" s="7"/>
      <c r="OLO186" s="7"/>
      <c r="OLP186" s="7"/>
      <c r="OLQ186" s="7"/>
      <c r="OLR186" s="7"/>
      <c r="OLS186" s="7"/>
      <c r="OLT186" s="7"/>
      <c r="OLU186" s="7"/>
      <c r="OLV186" s="7"/>
      <c r="OLW186" s="7"/>
      <c r="OLX186" s="7"/>
      <c r="OLY186" s="7"/>
      <c r="OLZ186" s="7"/>
      <c r="OMA186" s="7"/>
      <c r="OMB186" s="7"/>
      <c r="OMC186" s="7"/>
      <c r="OMD186" s="7"/>
      <c r="OME186" s="7"/>
      <c r="OMF186" s="7"/>
      <c r="OMG186" s="7"/>
      <c r="OMH186" s="7"/>
      <c r="OMI186" s="7"/>
      <c r="OMJ186" s="7"/>
      <c r="OMK186" s="7"/>
      <c r="OML186" s="7"/>
      <c r="OMM186" s="7"/>
      <c r="OMN186" s="7"/>
      <c r="OMO186" s="7"/>
      <c r="OMP186" s="7"/>
      <c r="OMQ186" s="7"/>
      <c r="OMR186" s="7"/>
      <c r="OMS186" s="7"/>
      <c r="OMT186" s="7"/>
      <c r="OMU186" s="7"/>
      <c r="OMV186" s="7"/>
      <c r="OMW186" s="7"/>
      <c r="OMX186" s="7"/>
      <c r="OMY186" s="7"/>
      <c r="OMZ186" s="7"/>
      <c r="ONA186" s="7"/>
      <c r="ONB186" s="7"/>
      <c r="ONC186" s="7"/>
      <c r="OND186" s="7"/>
      <c r="ONE186" s="7"/>
      <c r="ONF186" s="7"/>
      <c r="ONG186" s="7"/>
      <c r="ONH186" s="7"/>
      <c r="ONI186" s="7"/>
      <c r="ONJ186" s="7"/>
      <c r="ONK186" s="7"/>
      <c r="ONL186" s="7"/>
      <c r="ONM186" s="7"/>
      <c r="ONN186" s="7"/>
      <c r="ONO186" s="7"/>
      <c r="ONP186" s="7"/>
      <c r="ONQ186" s="7"/>
      <c r="ONR186" s="7"/>
      <c r="ONS186" s="7"/>
      <c r="ONT186" s="7"/>
      <c r="ONU186" s="7"/>
      <c r="ONV186" s="7"/>
      <c r="ONW186" s="7"/>
      <c r="ONX186" s="7"/>
      <c r="ONY186" s="7"/>
      <c r="ONZ186" s="7"/>
      <c r="OOA186" s="7"/>
      <c r="OOB186" s="7"/>
      <c r="OOC186" s="7"/>
      <c r="OOD186" s="7"/>
      <c r="OOE186" s="7"/>
      <c r="OOF186" s="7"/>
      <c r="OOG186" s="7"/>
      <c r="OOH186" s="7"/>
      <c r="OOI186" s="7"/>
      <c r="OOJ186" s="7"/>
      <c r="OOK186" s="7"/>
      <c r="OOL186" s="7"/>
      <c r="OOM186" s="7"/>
      <c r="OON186" s="7"/>
      <c r="OOO186" s="7"/>
      <c r="OOP186" s="7"/>
      <c r="OOQ186" s="7"/>
      <c r="OOR186" s="7"/>
      <c r="OOS186" s="7"/>
      <c r="OOT186" s="7"/>
      <c r="OOU186" s="7"/>
      <c r="OOV186" s="7"/>
      <c r="OOW186" s="7"/>
      <c r="OOX186" s="7"/>
      <c r="OOY186" s="7"/>
      <c r="OOZ186" s="7"/>
      <c r="OPA186" s="7"/>
      <c r="OPB186" s="7"/>
      <c r="OPC186" s="7"/>
      <c r="OPD186" s="7"/>
      <c r="OPE186" s="7"/>
      <c r="OPF186" s="7"/>
      <c r="OPG186" s="7"/>
      <c r="OPH186" s="7"/>
      <c r="OPI186" s="7"/>
      <c r="OPJ186" s="7"/>
      <c r="OPK186" s="7"/>
      <c r="OPL186" s="7"/>
      <c r="OPM186" s="7"/>
      <c r="OPN186" s="7"/>
      <c r="OPO186" s="7"/>
      <c r="OPP186" s="7"/>
      <c r="OPQ186" s="7"/>
      <c r="OPR186" s="7"/>
      <c r="OPS186" s="7"/>
      <c r="OPT186" s="7"/>
      <c r="OPU186" s="7"/>
      <c r="OPV186" s="7"/>
      <c r="OPW186" s="7"/>
      <c r="OPX186" s="7"/>
      <c r="OPY186" s="7"/>
      <c r="OPZ186" s="7"/>
      <c r="OQA186" s="7"/>
      <c r="OQB186" s="7"/>
      <c r="OQC186" s="7"/>
      <c r="OQD186" s="7"/>
      <c r="OQE186" s="7"/>
      <c r="OQF186" s="7"/>
      <c r="OQG186" s="7"/>
      <c r="OQH186" s="7"/>
      <c r="OQI186" s="7"/>
      <c r="OQJ186" s="7"/>
      <c r="OQK186" s="7"/>
      <c r="OQL186" s="7"/>
      <c r="OQM186" s="7"/>
      <c r="OQN186" s="7"/>
      <c r="OQO186" s="7"/>
      <c r="OQP186" s="7"/>
      <c r="OQQ186" s="7"/>
      <c r="OQR186" s="7"/>
      <c r="OQS186" s="7"/>
      <c r="OQT186" s="7"/>
      <c r="OQU186" s="7"/>
      <c r="OQV186" s="7"/>
      <c r="OQW186" s="7"/>
      <c r="OQX186" s="7"/>
      <c r="OQY186" s="7"/>
      <c r="OQZ186" s="7"/>
      <c r="ORA186" s="7"/>
      <c r="ORB186" s="7"/>
      <c r="ORC186" s="7"/>
      <c r="ORD186" s="7"/>
      <c r="ORE186" s="7"/>
      <c r="ORF186" s="7"/>
      <c r="ORG186" s="7"/>
      <c r="ORH186" s="7"/>
      <c r="ORI186" s="7"/>
      <c r="ORJ186" s="7"/>
      <c r="ORK186" s="7"/>
      <c r="ORL186" s="7"/>
      <c r="ORM186" s="7"/>
      <c r="ORN186" s="7"/>
      <c r="ORO186" s="7"/>
      <c r="ORP186" s="7"/>
      <c r="ORQ186" s="7"/>
      <c r="ORR186" s="7"/>
      <c r="ORS186" s="7"/>
      <c r="ORT186" s="7"/>
      <c r="ORU186" s="7"/>
      <c r="ORV186" s="7"/>
      <c r="ORW186" s="7"/>
      <c r="ORX186" s="7"/>
      <c r="ORY186" s="7"/>
      <c r="ORZ186" s="7"/>
      <c r="OSA186" s="7"/>
      <c r="OSB186" s="7"/>
      <c r="OSC186" s="7"/>
      <c r="OSD186" s="7"/>
      <c r="OSE186" s="7"/>
      <c r="OSF186" s="7"/>
      <c r="OSG186" s="7"/>
      <c r="OSH186" s="7"/>
      <c r="OSI186" s="7"/>
      <c r="OSJ186" s="7"/>
      <c r="OSK186" s="7"/>
      <c r="OSL186" s="7"/>
      <c r="OSM186" s="7"/>
      <c r="OSN186" s="7"/>
      <c r="OSO186" s="7"/>
      <c r="OSP186" s="7"/>
      <c r="OSQ186" s="7"/>
      <c r="OSR186" s="7"/>
      <c r="OSS186" s="7"/>
      <c r="OST186" s="7"/>
      <c r="OSU186" s="7"/>
      <c r="OSV186" s="7"/>
      <c r="OSW186" s="7"/>
      <c r="OSX186" s="7"/>
      <c r="OSY186" s="7"/>
      <c r="OSZ186" s="7"/>
      <c r="OTA186" s="7"/>
      <c r="OTB186" s="7"/>
      <c r="OTC186" s="7"/>
      <c r="OTD186" s="7"/>
      <c r="OTE186" s="7"/>
      <c r="OTF186" s="7"/>
      <c r="OTG186" s="7"/>
      <c r="OTH186" s="7"/>
      <c r="OTI186" s="7"/>
      <c r="OTJ186" s="7"/>
      <c r="OTK186" s="7"/>
      <c r="OTL186" s="7"/>
      <c r="OTM186" s="7"/>
      <c r="OTN186" s="7"/>
      <c r="OTO186" s="7"/>
      <c r="OTP186" s="7"/>
      <c r="OTQ186" s="7"/>
      <c r="OTR186" s="7"/>
      <c r="OTS186" s="7"/>
      <c r="OTT186" s="7"/>
      <c r="OTU186" s="7"/>
      <c r="OTV186" s="7"/>
      <c r="OTW186" s="7"/>
      <c r="OTX186" s="7"/>
      <c r="OTY186" s="7"/>
      <c r="OTZ186" s="7"/>
      <c r="OUA186" s="7"/>
      <c r="OUB186" s="7"/>
      <c r="OUC186" s="7"/>
      <c r="OUD186" s="7"/>
      <c r="OUE186" s="7"/>
      <c r="OUF186" s="7"/>
      <c r="OUG186" s="7"/>
      <c r="OUH186" s="7"/>
      <c r="OUI186" s="7"/>
      <c r="OUJ186" s="7"/>
      <c r="OUK186" s="7"/>
      <c r="OUL186" s="7"/>
      <c r="OUM186" s="7"/>
      <c r="OUN186" s="7"/>
      <c r="OUO186" s="7"/>
      <c r="OUP186" s="7"/>
      <c r="OUQ186" s="7"/>
      <c r="OUR186" s="7"/>
      <c r="OUS186" s="7"/>
      <c r="OUT186" s="7"/>
      <c r="OUU186" s="7"/>
      <c r="OUV186" s="7"/>
      <c r="OUW186" s="7"/>
      <c r="OUX186" s="7"/>
      <c r="OUY186" s="7"/>
      <c r="OUZ186" s="7"/>
      <c r="OVA186" s="7"/>
      <c r="OVB186" s="7"/>
      <c r="OVC186" s="7"/>
      <c r="OVD186" s="7"/>
      <c r="OVE186" s="7"/>
      <c r="OVF186" s="7"/>
      <c r="OVG186" s="7"/>
      <c r="OVH186" s="7"/>
      <c r="OVI186" s="7"/>
      <c r="OVJ186" s="7"/>
      <c r="OVK186" s="7"/>
      <c r="OVL186" s="7"/>
      <c r="OVM186" s="7"/>
      <c r="OVN186" s="7"/>
      <c r="OVO186" s="7"/>
      <c r="OVP186" s="7"/>
      <c r="OVQ186" s="7"/>
      <c r="OVR186" s="7"/>
      <c r="OVS186" s="7"/>
      <c r="OVT186" s="7"/>
      <c r="OVU186" s="7"/>
      <c r="OVV186" s="7"/>
      <c r="OVW186" s="7"/>
      <c r="OVX186" s="7"/>
      <c r="OVY186" s="7"/>
      <c r="OVZ186" s="7"/>
      <c r="OWA186" s="7"/>
      <c r="OWB186" s="7"/>
      <c r="OWC186" s="7"/>
      <c r="OWD186" s="7"/>
      <c r="OWE186" s="7"/>
      <c r="OWF186" s="7"/>
      <c r="OWG186" s="7"/>
      <c r="OWH186" s="7"/>
      <c r="OWI186" s="7"/>
      <c r="OWJ186" s="7"/>
      <c r="OWK186" s="7"/>
      <c r="OWL186" s="7"/>
      <c r="OWM186" s="7"/>
      <c r="OWN186" s="7"/>
      <c r="OWO186" s="7"/>
      <c r="OWP186" s="7"/>
      <c r="OWQ186" s="7"/>
      <c r="OWR186" s="7"/>
      <c r="OWS186" s="7"/>
      <c r="OWT186" s="7"/>
      <c r="OWU186" s="7"/>
      <c r="OWV186" s="7"/>
      <c r="OWW186" s="7"/>
      <c r="OWX186" s="7"/>
      <c r="OWY186" s="7"/>
      <c r="OWZ186" s="7"/>
      <c r="OXA186" s="7"/>
      <c r="OXB186" s="7"/>
      <c r="OXC186" s="7"/>
      <c r="OXD186" s="7"/>
      <c r="OXE186" s="7"/>
      <c r="OXF186" s="7"/>
      <c r="OXG186" s="7"/>
      <c r="OXH186" s="7"/>
      <c r="OXI186" s="7"/>
      <c r="OXJ186" s="7"/>
      <c r="OXK186" s="7"/>
      <c r="OXL186" s="7"/>
      <c r="OXM186" s="7"/>
      <c r="OXN186" s="7"/>
      <c r="OXO186" s="7"/>
      <c r="OXP186" s="7"/>
      <c r="OXQ186" s="7"/>
      <c r="OXR186" s="7"/>
      <c r="OXS186" s="7"/>
      <c r="OXT186" s="7"/>
      <c r="OXU186" s="7"/>
      <c r="OXV186" s="7"/>
      <c r="OXW186" s="7"/>
      <c r="OXX186" s="7"/>
      <c r="OXY186" s="7"/>
      <c r="OXZ186" s="7"/>
      <c r="OYA186" s="7"/>
      <c r="OYB186" s="7"/>
      <c r="OYC186" s="7"/>
      <c r="OYD186" s="7"/>
      <c r="OYE186" s="7"/>
      <c r="OYF186" s="7"/>
      <c r="OYG186" s="7"/>
      <c r="OYH186" s="7"/>
      <c r="OYI186" s="7"/>
      <c r="OYJ186" s="7"/>
      <c r="OYK186" s="7"/>
      <c r="OYL186" s="7"/>
      <c r="OYM186" s="7"/>
      <c r="OYN186" s="7"/>
      <c r="OYO186" s="7"/>
      <c r="OYP186" s="7"/>
      <c r="OYQ186" s="7"/>
      <c r="OYR186" s="7"/>
      <c r="OYS186" s="7"/>
      <c r="OYT186" s="7"/>
      <c r="OYU186" s="7"/>
      <c r="OYV186" s="7"/>
      <c r="OYW186" s="7"/>
      <c r="OYX186" s="7"/>
      <c r="OYY186" s="7"/>
      <c r="OYZ186" s="7"/>
      <c r="OZA186" s="7"/>
      <c r="OZB186" s="7"/>
      <c r="OZC186" s="7"/>
      <c r="OZD186" s="7"/>
      <c r="OZE186" s="7"/>
      <c r="OZF186" s="7"/>
      <c r="OZG186" s="7"/>
      <c r="OZH186" s="7"/>
      <c r="OZI186" s="7"/>
      <c r="OZJ186" s="7"/>
      <c r="OZK186" s="7"/>
      <c r="OZL186" s="7"/>
      <c r="OZM186" s="7"/>
      <c r="OZN186" s="7"/>
      <c r="OZO186" s="7"/>
      <c r="OZP186" s="7"/>
      <c r="OZQ186" s="7"/>
      <c r="OZR186" s="7"/>
      <c r="OZS186" s="7"/>
      <c r="OZT186" s="7"/>
      <c r="OZU186" s="7"/>
      <c r="OZV186" s="7"/>
      <c r="OZW186" s="7"/>
      <c r="OZX186" s="7"/>
      <c r="OZY186" s="7"/>
      <c r="OZZ186" s="7"/>
      <c r="PAA186" s="7"/>
      <c r="PAB186" s="7"/>
      <c r="PAC186" s="7"/>
      <c r="PAD186" s="7"/>
      <c r="PAE186" s="7"/>
      <c r="PAF186" s="7"/>
      <c r="PAG186" s="7"/>
      <c r="PAH186" s="7"/>
      <c r="PAI186" s="7"/>
      <c r="PAJ186" s="7"/>
      <c r="PAK186" s="7"/>
      <c r="PAL186" s="7"/>
      <c r="PAM186" s="7"/>
      <c r="PAN186" s="7"/>
      <c r="PAO186" s="7"/>
      <c r="PAP186" s="7"/>
      <c r="PAQ186" s="7"/>
      <c r="PAR186" s="7"/>
      <c r="PAS186" s="7"/>
      <c r="PAT186" s="7"/>
      <c r="PAU186" s="7"/>
      <c r="PAV186" s="7"/>
      <c r="PAW186" s="7"/>
      <c r="PAX186" s="7"/>
      <c r="PAY186" s="7"/>
      <c r="PAZ186" s="7"/>
      <c r="PBA186" s="7"/>
      <c r="PBB186" s="7"/>
      <c r="PBC186" s="7"/>
      <c r="PBD186" s="7"/>
      <c r="PBE186" s="7"/>
      <c r="PBF186" s="7"/>
      <c r="PBG186" s="7"/>
      <c r="PBH186" s="7"/>
      <c r="PBI186" s="7"/>
      <c r="PBJ186" s="7"/>
      <c r="PBK186" s="7"/>
      <c r="PBL186" s="7"/>
      <c r="PBM186" s="7"/>
      <c r="PBN186" s="7"/>
      <c r="PBO186" s="7"/>
      <c r="PBP186" s="7"/>
      <c r="PBQ186" s="7"/>
      <c r="PBR186" s="7"/>
      <c r="PBS186" s="7"/>
      <c r="PBT186" s="7"/>
      <c r="PBU186" s="7"/>
      <c r="PBV186" s="7"/>
      <c r="PBW186" s="7"/>
      <c r="PBX186" s="7"/>
      <c r="PBY186" s="7"/>
      <c r="PBZ186" s="7"/>
      <c r="PCA186" s="7"/>
      <c r="PCB186" s="7"/>
      <c r="PCC186" s="7"/>
      <c r="PCD186" s="7"/>
      <c r="PCE186" s="7"/>
      <c r="PCF186" s="7"/>
      <c r="PCG186" s="7"/>
      <c r="PCH186" s="7"/>
      <c r="PCI186" s="7"/>
      <c r="PCJ186" s="7"/>
      <c r="PCK186" s="7"/>
      <c r="PCL186" s="7"/>
      <c r="PCM186" s="7"/>
      <c r="PCN186" s="7"/>
      <c r="PCO186" s="7"/>
      <c r="PCP186" s="7"/>
      <c r="PCQ186" s="7"/>
      <c r="PCR186" s="7"/>
      <c r="PCS186" s="7"/>
      <c r="PCT186" s="7"/>
      <c r="PCU186" s="7"/>
      <c r="PCV186" s="7"/>
      <c r="PCW186" s="7"/>
      <c r="PCX186" s="7"/>
      <c r="PCY186" s="7"/>
      <c r="PCZ186" s="7"/>
      <c r="PDA186" s="7"/>
      <c r="PDB186" s="7"/>
      <c r="PDC186" s="7"/>
      <c r="PDD186" s="7"/>
      <c r="PDE186" s="7"/>
      <c r="PDF186" s="7"/>
      <c r="PDG186" s="7"/>
      <c r="PDH186" s="7"/>
      <c r="PDI186" s="7"/>
      <c r="PDJ186" s="7"/>
      <c r="PDK186" s="7"/>
      <c r="PDL186" s="7"/>
      <c r="PDM186" s="7"/>
      <c r="PDN186" s="7"/>
      <c r="PDO186" s="7"/>
      <c r="PDP186" s="7"/>
      <c r="PDQ186" s="7"/>
      <c r="PDR186" s="7"/>
      <c r="PDS186" s="7"/>
      <c r="PDT186" s="7"/>
      <c r="PDU186" s="7"/>
      <c r="PDV186" s="7"/>
      <c r="PDW186" s="7"/>
      <c r="PDX186" s="7"/>
      <c r="PDY186" s="7"/>
      <c r="PDZ186" s="7"/>
      <c r="PEA186" s="7"/>
      <c r="PEB186" s="7"/>
      <c r="PEC186" s="7"/>
      <c r="PED186" s="7"/>
      <c r="PEE186" s="7"/>
      <c r="PEF186" s="7"/>
      <c r="PEG186" s="7"/>
      <c r="PEH186" s="7"/>
      <c r="PEI186" s="7"/>
      <c r="PEJ186" s="7"/>
      <c r="PEK186" s="7"/>
      <c r="PEL186" s="7"/>
      <c r="PEM186" s="7"/>
      <c r="PEN186" s="7"/>
      <c r="PEO186" s="7"/>
      <c r="PEP186" s="7"/>
      <c r="PEQ186" s="7"/>
      <c r="PER186" s="7"/>
      <c r="PES186" s="7"/>
      <c r="PET186" s="7"/>
      <c r="PEU186" s="7"/>
      <c r="PEV186" s="7"/>
      <c r="PEW186" s="7"/>
      <c r="PEX186" s="7"/>
      <c r="PEY186" s="7"/>
      <c r="PEZ186" s="7"/>
      <c r="PFA186" s="7"/>
      <c r="PFB186" s="7"/>
      <c r="PFC186" s="7"/>
      <c r="PFD186" s="7"/>
      <c r="PFE186" s="7"/>
      <c r="PFF186" s="7"/>
      <c r="PFG186" s="7"/>
      <c r="PFH186" s="7"/>
      <c r="PFI186" s="7"/>
      <c r="PFJ186" s="7"/>
      <c r="PFK186" s="7"/>
      <c r="PFL186" s="7"/>
      <c r="PFM186" s="7"/>
      <c r="PFN186" s="7"/>
      <c r="PFO186" s="7"/>
      <c r="PFP186" s="7"/>
      <c r="PFQ186" s="7"/>
      <c r="PFR186" s="7"/>
      <c r="PFS186" s="7"/>
      <c r="PFT186" s="7"/>
      <c r="PFU186" s="7"/>
      <c r="PFV186" s="7"/>
      <c r="PFW186" s="7"/>
      <c r="PFX186" s="7"/>
      <c r="PFY186" s="7"/>
      <c r="PFZ186" s="7"/>
      <c r="PGA186" s="7"/>
      <c r="PGB186" s="7"/>
      <c r="PGC186" s="7"/>
      <c r="PGD186" s="7"/>
      <c r="PGE186" s="7"/>
      <c r="PGF186" s="7"/>
      <c r="PGG186" s="7"/>
      <c r="PGH186" s="7"/>
      <c r="PGI186" s="7"/>
      <c r="PGJ186" s="7"/>
      <c r="PGK186" s="7"/>
      <c r="PGL186" s="7"/>
      <c r="PGM186" s="7"/>
      <c r="PGN186" s="7"/>
      <c r="PGO186" s="7"/>
      <c r="PGP186" s="7"/>
      <c r="PGQ186" s="7"/>
      <c r="PGR186" s="7"/>
      <c r="PGS186" s="7"/>
      <c r="PGT186" s="7"/>
      <c r="PGU186" s="7"/>
      <c r="PGV186" s="7"/>
      <c r="PGW186" s="7"/>
      <c r="PGX186" s="7"/>
      <c r="PGY186" s="7"/>
      <c r="PGZ186" s="7"/>
      <c r="PHA186" s="7"/>
      <c r="PHB186" s="7"/>
      <c r="PHC186" s="7"/>
      <c r="PHD186" s="7"/>
      <c r="PHE186" s="7"/>
      <c r="PHF186" s="7"/>
      <c r="PHG186" s="7"/>
      <c r="PHH186" s="7"/>
      <c r="PHI186" s="7"/>
      <c r="PHJ186" s="7"/>
      <c r="PHK186" s="7"/>
      <c r="PHL186" s="7"/>
      <c r="PHM186" s="7"/>
      <c r="PHN186" s="7"/>
      <c r="PHO186" s="7"/>
      <c r="PHP186" s="7"/>
      <c r="PHQ186" s="7"/>
      <c r="PHR186" s="7"/>
      <c r="PHS186" s="7"/>
      <c r="PHT186" s="7"/>
      <c r="PHU186" s="7"/>
      <c r="PHV186" s="7"/>
      <c r="PHW186" s="7"/>
      <c r="PHX186" s="7"/>
      <c r="PHY186" s="7"/>
      <c r="PHZ186" s="7"/>
      <c r="PIA186" s="7"/>
      <c r="PIB186" s="7"/>
      <c r="PIC186" s="7"/>
      <c r="PID186" s="7"/>
      <c r="PIE186" s="7"/>
      <c r="PIF186" s="7"/>
      <c r="PIG186" s="7"/>
      <c r="PIH186" s="7"/>
      <c r="PII186" s="7"/>
      <c r="PIJ186" s="7"/>
      <c r="PIK186" s="7"/>
      <c r="PIL186" s="7"/>
      <c r="PIM186" s="7"/>
      <c r="PIN186" s="7"/>
      <c r="PIO186" s="7"/>
      <c r="PIP186" s="7"/>
      <c r="PIQ186" s="7"/>
      <c r="PIR186" s="7"/>
      <c r="PIS186" s="7"/>
      <c r="PIT186" s="7"/>
      <c r="PIU186" s="7"/>
      <c r="PIV186" s="7"/>
      <c r="PIW186" s="7"/>
      <c r="PIX186" s="7"/>
      <c r="PIY186" s="7"/>
      <c r="PIZ186" s="7"/>
      <c r="PJA186" s="7"/>
      <c r="PJB186" s="7"/>
      <c r="PJC186" s="7"/>
      <c r="PJD186" s="7"/>
      <c r="PJE186" s="7"/>
      <c r="PJF186" s="7"/>
      <c r="PJG186" s="7"/>
      <c r="PJH186" s="7"/>
      <c r="PJI186" s="7"/>
      <c r="PJJ186" s="7"/>
      <c r="PJK186" s="7"/>
      <c r="PJL186" s="7"/>
      <c r="PJM186" s="7"/>
      <c r="PJN186" s="7"/>
      <c r="PJO186" s="7"/>
      <c r="PJP186" s="7"/>
      <c r="PJQ186" s="7"/>
      <c r="PJR186" s="7"/>
      <c r="PJS186" s="7"/>
      <c r="PJT186" s="7"/>
      <c r="PJU186" s="7"/>
      <c r="PJV186" s="7"/>
      <c r="PJW186" s="7"/>
      <c r="PJX186" s="7"/>
      <c r="PJY186" s="7"/>
      <c r="PJZ186" s="7"/>
      <c r="PKA186" s="7"/>
      <c r="PKB186" s="7"/>
      <c r="PKC186" s="7"/>
      <c r="PKD186" s="7"/>
      <c r="PKE186" s="7"/>
      <c r="PKF186" s="7"/>
      <c r="PKG186" s="7"/>
      <c r="PKH186" s="7"/>
      <c r="PKI186" s="7"/>
      <c r="PKJ186" s="7"/>
      <c r="PKK186" s="7"/>
      <c r="PKL186" s="7"/>
      <c r="PKM186" s="7"/>
      <c r="PKN186" s="7"/>
      <c r="PKO186" s="7"/>
      <c r="PKP186" s="7"/>
      <c r="PKQ186" s="7"/>
      <c r="PKR186" s="7"/>
      <c r="PKS186" s="7"/>
      <c r="PKT186" s="7"/>
      <c r="PKU186" s="7"/>
      <c r="PKV186" s="7"/>
      <c r="PKW186" s="7"/>
      <c r="PKX186" s="7"/>
      <c r="PKY186" s="7"/>
      <c r="PKZ186" s="7"/>
      <c r="PLA186" s="7"/>
      <c r="PLB186" s="7"/>
      <c r="PLC186" s="7"/>
      <c r="PLD186" s="7"/>
      <c r="PLE186" s="7"/>
      <c r="PLF186" s="7"/>
      <c r="PLG186" s="7"/>
      <c r="PLH186" s="7"/>
      <c r="PLI186" s="7"/>
      <c r="PLJ186" s="7"/>
      <c r="PLK186" s="7"/>
      <c r="PLL186" s="7"/>
      <c r="PLM186" s="7"/>
      <c r="PLN186" s="7"/>
      <c r="PLO186" s="7"/>
      <c r="PLP186" s="7"/>
      <c r="PLQ186" s="7"/>
      <c r="PLR186" s="7"/>
      <c r="PLS186" s="7"/>
      <c r="PLT186" s="7"/>
      <c r="PLU186" s="7"/>
      <c r="PLV186" s="7"/>
      <c r="PLW186" s="7"/>
      <c r="PLX186" s="7"/>
      <c r="PLY186" s="7"/>
      <c r="PLZ186" s="7"/>
      <c r="PMA186" s="7"/>
      <c r="PMB186" s="7"/>
      <c r="PMC186" s="7"/>
      <c r="PMD186" s="7"/>
      <c r="PME186" s="7"/>
      <c r="PMF186" s="7"/>
      <c r="PMG186" s="7"/>
      <c r="PMH186" s="7"/>
      <c r="PMI186" s="7"/>
      <c r="PMJ186" s="7"/>
      <c r="PMK186" s="7"/>
      <c r="PML186" s="7"/>
      <c r="PMM186" s="7"/>
      <c r="PMN186" s="7"/>
      <c r="PMO186" s="7"/>
      <c r="PMP186" s="7"/>
      <c r="PMQ186" s="7"/>
      <c r="PMR186" s="7"/>
      <c r="PMS186" s="7"/>
      <c r="PMT186" s="7"/>
      <c r="PMU186" s="7"/>
      <c r="PMV186" s="7"/>
      <c r="PMW186" s="7"/>
      <c r="PMX186" s="7"/>
      <c r="PMY186" s="7"/>
      <c r="PMZ186" s="7"/>
      <c r="PNA186" s="7"/>
      <c r="PNB186" s="7"/>
      <c r="PNC186" s="7"/>
      <c r="PND186" s="7"/>
      <c r="PNE186" s="7"/>
      <c r="PNF186" s="7"/>
      <c r="PNG186" s="7"/>
      <c r="PNH186" s="7"/>
      <c r="PNI186" s="7"/>
      <c r="PNJ186" s="7"/>
      <c r="PNK186" s="7"/>
      <c r="PNL186" s="7"/>
      <c r="PNM186" s="7"/>
      <c r="PNN186" s="7"/>
      <c r="PNO186" s="7"/>
      <c r="PNP186" s="7"/>
      <c r="PNQ186" s="7"/>
      <c r="PNR186" s="7"/>
      <c r="PNS186" s="7"/>
      <c r="PNT186" s="7"/>
      <c r="PNU186" s="7"/>
      <c r="PNV186" s="7"/>
      <c r="PNW186" s="7"/>
      <c r="PNX186" s="7"/>
      <c r="PNY186" s="7"/>
      <c r="PNZ186" s="7"/>
      <c r="POA186" s="7"/>
      <c r="POB186" s="7"/>
      <c r="POC186" s="7"/>
      <c r="POD186" s="7"/>
      <c r="POE186" s="7"/>
      <c r="POF186" s="7"/>
      <c r="POG186" s="7"/>
      <c r="POH186" s="7"/>
      <c r="POI186" s="7"/>
      <c r="POJ186" s="7"/>
      <c r="POK186" s="7"/>
      <c r="POL186" s="7"/>
      <c r="POM186" s="7"/>
      <c r="PON186" s="7"/>
      <c r="POO186" s="7"/>
      <c r="POP186" s="7"/>
      <c r="POQ186" s="7"/>
      <c r="POR186" s="7"/>
      <c r="POS186" s="7"/>
      <c r="POT186" s="7"/>
      <c r="POU186" s="7"/>
      <c r="POV186" s="7"/>
      <c r="POW186" s="7"/>
      <c r="POX186" s="7"/>
      <c r="POY186" s="7"/>
      <c r="POZ186" s="7"/>
      <c r="PPA186" s="7"/>
      <c r="PPB186" s="7"/>
      <c r="PPC186" s="7"/>
      <c r="PPD186" s="7"/>
      <c r="PPE186" s="7"/>
      <c r="PPF186" s="7"/>
      <c r="PPG186" s="7"/>
      <c r="PPH186" s="7"/>
      <c r="PPI186" s="7"/>
      <c r="PPJ186" s="7"/>
      <c r="PPK186" s="7"/>
      <c r="PPL186" s="7"/>
      <c r="PPM186" s="7"/>
      <c r="PPN186" s="7"/>
      <c r="PPO186" s="7"/>
      <c r="PPP186" s="7"/>
      <c r="PPQ186" s="7"/>
      <c r="PPR186" s="7"/>
      <c r="PPS186" s="7"/>
      <c r="PPT186" s="7"/>
      <c r="PPU186" s="7"/>
      <c r="PPV186" s="7"/>
      <c r="PPW186" s="7"/>
      <c r="PPX186" s="7"/>
      <c r="PPY186" s="7"/>
      <c r="PPZ186" s="7"/>
      <c r="PQA186" s="7"/>
      <c r="PQB186" s="7"/>
      <c r="PQC186" s="7"/>
      <c r="PQD186" s="7"/>
      <c r="PQE186" s="7"/>
      <c r="PQF186" s="7"/>
      <c r="PQG186" s="7"/>
      <c r="PQH186" s="7"/>
      <c r="PQI186" s="7"/>
      <c r="PQJ186" s="7"/>
      <c r="PQK186" s="7"/>
      <c r="PQL186" s="7"/>
      <c r="PQM186" s="7"/>
      <c r="PQN186" s="7"/>
      <c r="PQO186" s="7"/>
      <c r="PQP186" s="7"/>
      <c r="PQQ186" s="7"/>
      <c r="PQR186" s="7"/>
      <c r="PQS186" s="7"/>
      <c r="PQT186" s="7"/>
      <c r="PQU186" s="7"/>
      <c r="PQV186" s="7"/>
      <c r="PQW186" s="7"/>
      <c r="PQX186" s="7"/>
      <c r="PQY186" s="7"/>
      <c r="PQZ186" s="7"/>
      <c r="PRA186" s="7"/>
      <c r="PRB186" s="7"/>
      <c r="PRC186" s="7"/>
      <c r="PRD186" s="7"/>
      <c r="PRE186" s="7"/>
      <c r="PRF186" s="7"/>
      <c r="PRG186" s="7"/>
      <c r="PRH186" s="7"/>
      <c r="PRI186" s="7"/>
      <c r="PRJ186" s="7"/>
      <c r="PRK186" s="7"/>
      <c r="PRL186" s="7"/>
      <c r="PRM186" s="7"/>
      <c r="PRN186" s="7"/>
      <c r="PRO186" s="7"/>
      <c r="PRP186" s="7"/>
      <c r="PRQ186" s="7"/>
      <c r="PRR186" s="7"/>
      <c r="PRS186" s="7"/>
      <c r="PRT186" s="7"/>
      <c r="PRU186" s="7"/>
      <c r="PRV186" s="7"/>
      <c r="PRW186" s="7"/>
      <c r="PRX186" s="7"/>
      <c r="PRY186" s="7"/>
      <c r="PRZ186" s="7"/>
      <c r="PSA186" s="7"/>
      <c r="PSB186" s="7"/>
      <c r="PSC186" s="7"/>
      <c r="PSD186" s="7"/>
      <c r="PSE186" s="7"/>
      <c r="PSF186" s="7"/>
      <c r="PSG186" s="7"/>
      <c r="PSH186" s="7"/>
      <c r="PSI186" s="7"/>
      <c r="PSJ186" s="7"/>
      <c r="PSK186" s="7"/>
      <c r="PSL186" s="7"/>
      <c r="PSM186" s="7"/>
      <c r="PSN186" s="7"/>
      <c r="PSO186" s="7"/>
      <c r="PSP186" s="7"/>
      <c r="PSQ186" s="7"/>
      <c r="PSR186" s="7"/>
      <c r="PSS186" s="7"/>
      <c r="PST186" s="7"/>
      <c r="PSU186" s="7"/>
      <c r="PSV186" s="7"/>
      <c r="PSW186" s="7"/>
      <c r="PSX186" s="7"/>
      <c r="PSY186" s="7"/>
      <c r="PSZ186" s="7"/>
      <c r="PTA186" s="7"/>
      <c r="PTB186" s="7"/>
      <c r="PTC186" s="7"/>
      <c r="PTD186" s="7"/>
      <c r="PTE186" s="7"/>
      <c r="PTF186" s="7"/>
      <c r="PTG186" s="7"/>
      <c r="PTH186" s="7"/>
      <c r="PTI186" s="7"/>
      <c r="PTJ186" s="7"/>
      <c r="PTK186" s="7"/>
      <c r="PTL186" s="7"/>
      <c r="PTM186" s="7"/>
      <c r="PTN186" s="7"/>
      <c r="PTO186" s="7"/>
      <c r="PTP186" s="7"/>
      <c r="PTQ186" s="7"/>
      <c r="PTR186" s="7"/>
      <c r="PTS186" s="7"/>
      <c r="PTT186" s="7"/>
      <c r="PTU186" s="7"/>
      <c r="PTV186" s="7"/>
      <c r="PTW186" s="7"/>
      <c r="PTX186" s="7"/>
      <c r="PTY186" s="7"/>
      <c r="PTZ186" s="7"/>
      <c r="PUA186" s="7"/>
      <c r="PUB186" s="7"/>
      <c r="PUC186" s="7"/>
      <c r="PUD186" s="7"/>
      <c r="PUE186" s="7"/>
      <c r="PUF186" s="7"/>
      <c r="PUG186" s="7"/>
      <c r="PUH186" s="7"/>
      <c r="PUI186" s="7"/>
      <c r="PUJ186" s="7"/>
      <c r="PUK186" s="7"/>
      <c r="PUL186" s="7"/>
      <c r="PUM186" s="7"/>
      <c r="PUN186" s="7"/>
      <c r="PUO186" s="7"/>
      <c r="PUP186" s="7"/>
      <c r="PUQ186" s="7"/>
      <c r="PUR186" s="7"/>
      <c r="PUS186" s="7"/>
      <c r="PUT186" s="7"/>
      <c r="PUU186" s="7"/>
      <c r="PUV186" s="7"/>
      <c r="PUW186" s="7"/>
      <c r="PUX186" s="7"/>
      <c r="PUY186" s="7"/>
      <c r="PUZ186" s="7"/>
      <c r="PVA186" s="7"/>
      <c r="PVB186" s="7"/>
      <c r="PVC186" s="7"/>
      <c r="PVD186" s="7"/>
      <c r="PVE186" s="7"/>
      <c r="PVF186" s="7"/>
      <c r="PVG186" s="7"/>
      <c r="PVH186" s="7"/>
      <c r="PVI186" s="7"/>
      <c r="PVJ186" s="7"/>
      <c r="PVK186" s="7"/>
      <c r="PVL186" s="7"/>
      <c r="PVM186" s="7"/>
      <c r="PVN186" s="7"/>
      <c r="PVO186" s="7"/>
      <c r="PVP186" s="7"/>
      <c r="PVQ186" s="7"/>
      <c r="PVR186" s="7"/>
      <c r="PVS186" s="7"/>
      <c r="PVT186" s="7"/>
      <c r="PVU186" s="7"/>
      <c r="PVV186" s="7"/>
      <c r="PVW186" s="7"/>
      <c r="PVX186" s="7"/>
      <c r="PVY186" s="7"/>
      <c r="PVZ186" s="7"/>
      <c r="PWA186" s="7"/>
      <c r="PWB186" s="7"/>
      <c r="PWC186" s="7"/>
      <c r="PWD186" s="7"/>
      <c r="PWE186" s="7"/>
      <c r="PWF186" s="7"/>
      <c r="PWG186" s="7"/>
      <c r="PWH186" s="7"/>
      <c r="PWI186" s="7"/>
      <c r="PWJ186" s="7"/>
      <c r="PWK186" s="7"/>
      <c r="PWL186" s="7"/>
      <c r="PWM186" s="7"/>
      <c r="PWN186" s="7"/>
      <c r="PWO186" s="7"/>
      <c r="PWP186" s="7"/>
      <c r="PWQ186" s="7"/>
      <c r="PWR186" s="7"/>
      <c r="PWS186" s="7"/>
      <c r="PWT186" s="7"/>
      <c r="PWU186" s="7"/>
      <c r="PWV186" s="7"/>
      <c r="PWW186" s="7"/>
      <c r="PWX186" s="7"/>
      <c r="PWY186" s="7"/>
      <c r="PWZ186" s="7"/>
      <c r="PXA186" s="7"/>
      <c r="PXB186" s="7"/>
      <c r="PXC186" s="7"/>
      <c r="PXD186" s="7"/>
      <c r="PXE186" s="7"/>
      <c r="PXF186" s="7"/>
      <c r="PXG186" s="7"/>
      <c r="PXH186" s="7"/>
      <c r="PXI186" s="7"/>
      <c r="PXJ186" s="7"/>
      <c r="PXK186" s="7"/>
      <c r="PXL186" s="7"/>
      <c r="PXM186" s="7"/>
      <c r="PXN186" s="7"/>
      <c r="PXO186" s="7"/>
      <c r="PXP186" s="7"/>
      <c r="PXQ186" s="7"/>
      <c r="PXR186" s="7"/>
      <c r="PXS186" s="7"/>
      <c r="PXT186" s="7"/>
      <c r="PXU186" s="7"/>
      <c r="PXV186" s="7"/>
      <c r="PXW186" s="7"/>
      <c r="PXX186" s="7"/>
      <c r="PXY186" s="7"/>
      <c r="PXZ186" s="7"/>
      <c r="PYA186" s="7"/>
      <c r="PYB186" s="7"/>
      <c r="PYC186" s="7"/>
      <c r="PYD186" s="7"/>
      <c r="PYE186" s="7"/>
      <c r="PYF186" s="7"/>
      <c r="PYG186" s="7"/>
      <c r="PYH186" s="7"/>
      <c r="PYI186" s="7"/>
      <c r="PYJ186" s="7"/>
      <c r="PYK186" s="7"/>
      <c r="PYL186" s="7"/>
      <c r="PYM186" s="7"/>
      <c r="PYN186" s="7"/>
      <c r="PYO186" s="7"/>
      <c r="PYP186" s="7"/>
      <c r="PYQ186" s="7"/>
      <c r="PYR186" s="7"/>
      <c r="PYS186" s="7"/>
      <c r="PYT186" s="7"/>
      <c r="PYU186" s="7"/>
      <c r="PYV186" s="7"/>
      <c r="PYW186" s="7"/>
      <c r="PYX186" s="7"/>
      <c r="PYY186" s="7"/>
      <c r="PYZ186" s="7"/>
      <c r="PZA186" s="7"/>
      <c r="PZB186" s="7"/>
      <c r="PZC186" s="7"/>
      <c r="PZD186" s="7"/>
      <c r="PZE186" s="7"/>
      <c r="PZF186" s="7"/>
      <c r="PZG186" s="7"/>
      <c r="PZH186" s="7"/>
      <c r="PZI186" s="7"/>
      <c r="PZJ186" s="7"/>
      <c r="PZK186" s="7"/>
      <c r="PZL186" s="7"/>
      <c r="PZM186" s="7"/>
      <c r="PZN186" s="7"/>
      <c r="PZO186" s="7"/>
      <c r="PZP186" s="7"/>
      <c r="PZQ186" s="7"/>
      <c r="PZR186" s="7"/>
      <c r="PZS186" s="7"/>
      <c r="PZT186" s="7"/>
      <c r="PZU186" s="7"/>
      <c r="PZV186" s="7"/>
      <c r="PZW186" s="7"/>
      <c r="PZX186" s="7"/>
      <c r="PZY186" s="7"/>
      <c r="PZZ186" s="7"/>
      <c r="QAA186" s="7"/>
      <c r="QAB186" s="7"/>
      <c r="QAC186" s="7"/>
      <c r="QAD186" s="7"/>
      <c r="QAE186" s="7"/>
      <c r="QAF186" s="7"/>
      <c r="QAG186" s="7"/>
      <c r="QAH186" s="7"/>
      <c r="QAI186" s="7"/>
      <c r="QAJ186" s="7"/>
      <c r="QAK186" s="7"/>
      <c r="QAL186" s="7"/>
      <c r="QAM186" s="7"/>
      <c r="QAN186" s="7"/>
      <c r="QAO186" s="7"/>
      <c r="QAP186" s="7"/>
      <c r="QAQ186" s="7"/>
      <c r="QAR186" s="7"/>
      <c r="QAS186" s="7"/>
      <c r="QAT186" s="7"/>
      <c r="QAU186" s="7"/>
      <c r="QAV186" s="7"/>
      <c r="QAW186" s="7"/>
      <c r="QAX186" s="7"/>
      <c r="QAY186" s="7"/>
      <c r="QAZ186" s="7"/>
      <c r="QBA186" s="7"/>
      <c r="QBB186" s="7"/>
      <c r="QBC186" s="7"/>
      <c r="QBD186" s="7"/>
      <c r="QBE186" s="7"/>
      <c r="QBF186" s="7"/>
      <c r="QBG186" s="7"/>
      <c r="QBH186" s="7"/>
      <c r="QBI186" s="7"/>
      <c r="QBJ186" s="7"/>
      <c r="QBK186" s="7"/>
      <c r="QBL186" s="7"/>
      <c r="QBM186" s="7"/>
      <c r="QBN186" s="7"/>
      <c r="QBO186" s="7"/>
      <c r="QBP186" s="7"/>
      <c r="QBQ186" s="7"/>
      <c r="QBR186" s="7"/>
      <c r="QBS186" s="7"/>
      <c r="QBT186" s="7"/>
      <c r="QBU186" s="7"/>
      <c r="QBV186" s="7"/>
      <c r="QBW186" s="7"/>
      <c r="QBX186" s="7"/>
      <c r="QBY186" s="7"/>
      <c r="QBZ186" s="7"/>
      <c r="QCA186" s="7"/>
      <c r="QCB186" s="7"/>
      <c r="QCC186" s="7"/>
      <c r="QCD186" s="7"/>
      <c r="QCE186" s="7"/>
      <c r="QCF186" s="7"/>
      <c r="QCG186" s="7"/>
      <c r="QCH186" s="7"/>
      <c r="QCI186" s="7"/>
      <c r="QCJ186" s="7"/>
      <c r="QCK186" s="7"/>
      <c r="QCL186" s="7"/>
      <c r="QCM186" s="7"/>
      <c r="QCN186" s="7"/>
      <c r="QCO186" s="7"/>
      <c r="QCP186" s="7"/>
      <c r="QCQ186" s="7"/>
      <c r="QCR186" s="7"/>
      <c r="QCS186" s="7"/>
      <c r="QCT186" s="7"/>
      <c r="QCU186" s="7"/>
      <c r="QCV186" s="7"/>
      <c r="QCW186" s="7"/>
      <c r="QCX186" s="7"/>
      <c r="QCY186" s="7"/>
      <c r="QCZ186" s="7"/>
      <c r="QDA186" s="7"/>
      <c r="QDB186" s="7"/>
      <c r="QDC186" s="7"/>
      <c r="QDD186" s="7"/>
      <c r="QDE186" s="7"/>
      <c r="QDF186" s="7"/>
      <c r="QDG186" s="7"/>
      <c r="QDH186" s="7"/>
      <c r="QDI186" s="7"/>
      <c r="QDJ186" s="7"/>
      <c r="QDK186" s="7"/>
      <c r="QDL186" s="7"/>
      <c r="QDM186" s="7"/>
      <c r="QDN186" s="7"/>
      <c r="QDO186" s="7"/>
      <c r="QDP186" s="7"/>
      <c r="QDQ186" s="7"/>
      <c r="QDR186" s="7"/>
      <c r="QDS186" s="7"/>
      <c r="QDT186" s="7"/>
      <c r="QDU186" s="7"/>
      <c r="QDV186" s="7"/>
      <c r="QDW186" s="7"/>
      <c r="QDX186" s="7"/>
      <c r="QDY186" s="7"/>
      <c r="QDZ186" s="7"/>
      <c r="QEA186" s="7"/>
      <c r="QEB186" s="7"/>
      <c r="QEC186" s="7"/>
      <c r="QED186" s="7"/>
      <c r="QEE186" s="7"/>
      <c r="QEF186" s="7"/>
      <c r="QEG186" s="7"/>
      <c r="QEH186" s="7"/>
      <c r="QEI186" s="7"/>
      <c r="QEJ186" s="7"/>
      <c r="QEK186" s="7"/>
      <c r="QEL186" s="7"/>
      <c r="QEM186" s="7"/>
      <c r="QEN186" s="7"/>
      <c r="QEO186" s="7"/>
      <c r="QEP186" s="7"/>
      <c r="QEQ186" s="7"/>
      <c r="QER186" s="7"/>
      <c r="QES186" s="7"/>
      <c r="QET186" s="7"/>
      <c r="QEU186" s="7"/>
      <c r="QEV186" s="7"/>
      <c r="QEW186" s="7"/>
      <c r="QEX186" s="7"/>
      <c r="QEY186" s="7"/>
      <c r="QEZ186" s="7"/>
      <c r="QFA186" s="7"/>
      <c r="QFB186" s="7"/>
      <c r="QFC186" s="7"/>
      <c r="QFD186" s="7"/>
      <c r="QFE186" s="7"/>
      <c r="QFF186" s="7"/>
      <c r="QFG186" s="7"/>
      <c r="QFH186" s="7"/>
      <c r="QFI186" s="7"/>
      <c r="QFJ186" s="7"/>
      <c r="QFK186" s="7"/>
      <c r="QFL186" s="7"/>
      <c r="QFM186" s="7"/>
      <c r="QFN186" s="7"/>
      <c r="QFO186" s="7"/>
      <c r="QFP186" s="7"/>
      <c r="QFQ186" s="7"/>
      <c r="QFR186" s="7"/>
      <c r="QFS186" s="7"/>
      <c r="QFT186" s="7"/>
      <c r="QFU186" s="7"/>
      <c r="QFV186" s="7"/>
      <c r="QFW186" s="7"/>
      <c r="QFX186" s="7"/>
      <c r="QFY186" s="7"/>
      <c r="QFZ186" s="7"/>
      <c r="QGA186" s="7"/>
      <c r="QGB186" s="7"/>
      <c r="QGC186" s="7"/>
      <c r="QGD186" s="7"/>
      <c r="QGE186" s="7"/>
      <c r="QGF186" s="7"/>
      <c r="QGG186" s="7"/>
      <c r="QGH186" s="7"/>
      <c r="QGI186" s="7"/>
      <c r="QGJ186" s="7"/>
      <c r="QGK186" s="7"/>
      <c r="QGL186" s="7"/>
      <c r="QGM186" s="7"/>
      <c r="QGN186" s="7"/>
      <c r="QGO186" s="7"/>
      <c r="QGP186" s="7"/>
      <c r="QGQ186" s="7"/>
      <c r="QGR186" s="7"/>
      <c r="QGS186" s="7"/>
      <c r="QGT186" s="7"/>
      <c r="QGU186" s="7"/>
      <c r="QGV186" s="7"/>
      <c r="QGW186" s="7"/>
      <c r="QGX186" s="7"/>
      <c r="QGY186" s="7"/>
      <c r="QGZ186" s="7"/>
      <c r="QHA186" s="7"/>
      <c r="QHB186" s="7"/>
      <c r="QHC186" s="7"/>
      <c r="QHD186" s="7"/>
      <c r="QHE186" s="7"/>
      <c r="QHF186" s="7"/>
      <c r="QHG186" s="7"/>
      <c r="QHH186" s="7"/>
      <c r="QHI186" s="7"/>
      <c r="QHJ186" s="7"/>
      <c r="QHK186" s="7"/>
      <c r="QHL186" s="7"/>
      <c r="QHM186" s="7"/>
      <c r="QHN186" s="7"/>
      <c r="QHO186" s="7"/>
      <c r="QHP186" s="7"/>
      <c r="QHQ186" s="7"/>
      <c r="QHR186" s="7"/>
      <c r="QHS186" s="7"/>
      <c r="QHT186" s="7"/>
      <c r="QHU186" s="7"/>
      <c r="QHV186" s="7"/>
      <c r="QHW186" s="7"/>
      <c r="QHX186" s="7"/>
      <c r="QHY186" s="7"/>
      <c r="QHZ186" s="7"/>
      <c r="QIA186" s="7"/>
      <c r="QIB186" s="7"/>
      <c r="QIC186" s="7"/>
      <c r="QID186" s="7"/>
      <c r="QIE186" s="7"/>
      <c r="QIF186" s="7"/>
      <c r="QIG186" s="7"/>
      <c r="QIH186" s="7"/>
      <c r="QII186" s="7"/>
      <c r="QIJ186" s="7"/>
      <c r="QIK186" s="7"/>
      <c r="QIL186" s="7"/>
      <c r="QIM186" s="7"/>
      <c r="QIN186" s="7"/>
      <c r="QIO186" s="7"/>
      <c r="QIP186" s="7"/>
      <c r="QIQ186" s="7"/>
      <c r="QIR186" s="7"/>
      <c r="QIS186" s="7"/>
      <c r="QIT186" s="7"/>
      <c r="QIU186" s="7"/>
      <c r="QIV186" s="7"/>
      <c r="QIW186" s="7"/>
      <c r="QIX186" s="7"/>
      <c r="QIY186" s="7"/>
      <c r="QIZ186" s="7"/>
      <c r="QJA186" s="7"/>
      <c r="QJB186" s="7"/>
      <c r="QJC186" s="7"/>
      <c r="QJD186" s="7"/>
      <c r="QJE186" s="7"/>
      <c r="QJF186" s="7"/>
      <c r="QJG186" s="7"/>
      <c r="QJH186" s="7"/>
      <c r="QJI186" s="7"/>
      <c r="QJJ186" s="7"/>
      <c r="QJK186" s="7"/>
      <c r="QJL186" s="7"/>
      <c r="QJM186" s="7"/>
      <c r="QJN186" s="7"/>
      <c r="QJO186" s="7"/>
      <c r="QJP186" s="7"/>
      <c r="QJQ186" s="7"/>
      <c r="QJR186" s="7"/>
      <c r="QJS186" s="7"/>
      <c r="QJT186" s="7"/>
      <c r="QJU186" s="7"/>
      <c r="QJV186" s="7"/>
      <c r="QJW186" s="7"/>
      <c r="QJX186" s="7"/>
      <c r="QJY186" s="7"/>
      <c r="QJZ186" s="7"/>
      <c r="QKA186" s="7"/>
      <c r="QKB186" s="7"/>
      <c r="QKC186" s="7"/>
      <c r="QKD186" s="7"/>
      <c r="QKE186" s="7"/>
      <c r="QKF186" s="7"/>
      <c r="QKG186" s="7"/>
      <c r="QKH186" s="7"/>
      <c r="QKI186" s="7"/>
      <c r="QKJ186" s="7"/>
      <c r="QKK186" s="7"/>
      <c r="QKL186" s="7"/>
      <c r="QKM186" s="7"/>
      <c r="QKN186" s="7"/>
      <c r="QKO186" s="7"/>
      <c r="QKP186" s="7"/>
      <c r="QKQ186" s="7"/>
      <c r="QKR186" s="7"/>
      <c r="QKS186" s="7"/>
      <c r="QKT186" s="7"/>
      <c r="QKU186" s="7"/>
      <c r="QKV186" s="7"/>
      <c r="QKW186" s="7"/>
      <c r="QKX186" s="7"/>
      <c r="QKY186" s="7"/>
      <c r="QKZ186" s="7"/>
      <c r="QLA186" s="7"/>
      <c r="QLB186" s="7"/>
      <c r="QLC186" s="7"/>
      <c r="QLD186" s="7"/>
      <c r="QLE186" s="7"/>
      <c r="QLF186" s="7"/>
      <c r="QLG186" s="7"/>
      <c r="QLH186" s="7"/>
      <c r="QLI186" s="7"/>
      <c r="QLJ186" s="7"/>
      <c r="QLK186" s="7"/>
      <c r="QLL186" s="7"/>
      <c r="QLM186" s="7"/>
      <c r="QLN186" s="7"/>
      <c r="QLO186" s="7"/>
      <c r="QLP186" s="7"/>
      <c r="QLQ186" s="7"/>
      <c r="QLR186" s="7"/>
      <c r="QLS186" s="7"/>
      <c r="QLT186" s="7"/>
      <c r="QLU186" s="7"/>
      <c r="QLV186" s="7"/>
      <c r="QLW186" s="7"/>
      <c r="QLX186" s="7"/>
      <c r="QLY186" s="7"/>
      <c r="QLZ186" s="7"/>
      <c r="QMA186" s="7"/>
      <c r="QMB186" s="7"/>
      <c r="QMC186" s="7"/>
      <c r="QMD186" s="7"/>
      <c r="QME186" s="7"/>
      <c r="QMF186" s="7"/>
      <c r="QMG186" s="7"/>
      <c r="QMH186" s="7"/>
      <c r="QMI186" s="7"/>
      <c r="QMJ186" s="7"/>
      <c r="QMK186" s="7"/>
      <c r="QML186" s="7"/>
      <c r="QMM186" s="7"/>
      <c r="QMN186" s="7"/>
      <c r="QMO186" s="7"/>
      <c r="QMP186" s="7"/>
      <c r="QMQ186" s="7"/>
      <c r="QMR186" s="7"/>
      <c r="QMS186" s="7"/>
      <c r="QMT186" s="7"/>
      <c r="QMU186" s="7"/>
      <c r="QMV186" s="7"/>
      <c r="QMW186" s="7"/>
      <c r="QMX186" s="7"/>
      <c r="QMY186" s="7"/>
      <c r="QMZ186" s="7"/>
      <c r="QNA186" s="7"/>
      <c r="QNB186" s="7"/>
      <c r="QNC186" s="7"/>
      <c r="QND186" s="7"/>
      <c r="QNE186" s="7"/>
      <c r="QNF186" s="7"/>
      <c r="QNG186" s="7"/>
      <c r="QNH186" s="7"/>
      <c r="QNI186" s="7"/>
      <c r="QNJ186" s="7"/>
      <c r="QNK186" s="7"/>
      <c r="QNL186" s="7"/>
      <c r="QNM186" s="7"/>
      <c r="QNN186" s="7"/>
      <c r="QNO186" s="7"/>
      <c r="QNP186" s="7"/>
      <c r="QNQ186" s="7"/>
      <c r="QNR186" s="7"/>
      <c r="QNS186" s="7"/>
      <c r="QNT186" s="7"/>
      <c r="QNU186" s="7"/>
      <c r="QNV186" s="7"/>
      <c r="QNW186" s="7"/>
      <c r="QNX186" s="7"/>
      <c r="QNY186" s="7"/>
      <c r="QNZ186" s="7"/>
      <c r="QOA186" s="7"/>
      <c r="QOB186" s="7"/>
      <c r="QOC186" s="7"/>
      <c r="QOD186" s="7"/>
      <c r="QOE186" s="7"/>
      <c r="QOF186" s="7"/>
      <c r="QOG186" s="7"/>
      <c r="QOH186" s="7"/>
      <c r="QOI186" s="7"/>
      <c r="QOJ186" s="7"/>
      <c r="QOK186" s="7"/>
      <c r="QOL186" s="7"/>
      <c r="QOM186" s="7"/>
      <c r="QON186" s="7"/>
      <c r="QOO186" s="7"/>
      <c r="QOP186" s="7"/>
      <c r="QOQ186" s="7"/>
      <c r="QOR186" s="7"/>
      <c r="QOS186" s="7"/>
      <c r="QOT186" s="7"/>
      <c r="QOU186" s="7"/>
      <c r="QOV186" s="7"/>
      <c r="QOW186" s="7"/>
      <c r="QOX186" s="7"/>
      <c r="QOY186" s="7"/>
      <c r="QOZ186" s="7"/>
      <c r="QPA186" s="7"/>
      <c r="QPB186" s="7"/>
      <c r="QPC186" s="7"/>
      <c r="QPD186" s="7"/>
      <c r="QPE186" s="7"/>
      <c r="QPF186" s="7"/>
      <c r="QPG186" s="7"/>
      <c r="QPH186" s="7"/>
      <c r="QPI186" s="7"/>
      <c r="QPJ186" s="7"/>
      <c r="QPK186" s="7"/>
      <c r="QPL186" s="7"/>
      <c r="QPM186" s="7"/>
      <c r="QPN186" s="7"/>
      <c r="QPO186" s="7"/>
      <c r="QPP186" s="7"/>
      <c r="QPQ186" s="7"/>
      <c r="QPR186" s="7"/>
      <c r="QPS186" s="7"/>
      <c r="QPT186" s="7"/>
      <c r="QPU186" s="7"/>
      <c r="QPV186" s="7"/>
      <c r="QPW186" s="7"/>
      <c r="QPX186" s="7"/>
      <c r="QPY186" s="7"/>
      <c r="QPZ186" s="7"/>
      <c r="QQA186" s="7"/>
      <c r="QQB186" s="7"/>
      <c r="QQC186" s="7"/>
      <c r="QQD186" s="7"/>
      <c r="QQE186" s="7"/>
      <c r="QQF186" s="7"/>
      <c r="QQG186" s="7"/>
      <c r="QQH186" s="7"/>
      <c r="QQI186" s="7"/>
      <c r="QQJ186" s="7"/>
      <c r="QQK186" s="7"/>
      <c r="QQL186" s="7"/>
      <c r="QQM186" s="7"/>
      <c r="QQN186" s="7"/>
      <c r="QQO186" s="7"/>
      <c r="QQP186" s="7"/>
      <c r="QQQ186" s="7"/>
      <c r="QQR186" s="7"/>
      <c r="QQS186" s="7"/>
      <c r="QQT186" s="7"/>
      <c r="QQU186" s="7"/>
      <c r="QQV186" s="7"/>
      <c r="QQW186" s="7"/>
      <c r="QQX186" s="7"/>
      <c r="QQY186" s="7"/>
      <c r="QQZ186" s="7"/>
      <c r="QRA186" s="7"/>
      <c r="QRB186" s="7"/>
      <c r="QRC186" s="7"/>
      <c r="QRD186" s="7"/>
      <c r="QRE186" s="7"/>
      <c r="QRF186" s="7"/>
      <c r="QRG186" s="7"/>
      <c r="QRH186" s="7"/>
      <c r="QRI186" s="7"/>
      <c r="QRJ186" s="7"/>
      <c r="QRK186" s="7"/>
      <c r="QRL186" s="7"/>
      <c r="QRM186" s="7"/>
      <c r="QRN186" s="7"/>
      <c r="QRO186" s="7"/>
      <c r="QRP186" s="7"/>
      <c r="QRQ186" s="7"/>
      <c r="QRR186" s="7"/>
      <c r="QRS186" s="7"/>
      <c r="QRT186" s="7"/>
      <c r="QRU186" s="7"/>
      <c r="QRV186" s="7"/>
      <c r="QRW186" s="7"/>
      <c r="QRX186" s="7"/>
      <c r="QRY186" s="7"/>
      <c r="QRZ186" s="7"/>
      <c r="QSA186" s="7"/>
      <c r="QSB186" s="7"/>
      <c r="QSC186" s="7"/>
      <c r="QSD186" s="7"/>
      <c r="QSE186" s="7"/>
      <c r="QSF186" s="7"/>
      <c r="QSG186" s="7"/>
      <c r="QSH186" s="7"/>
      <c r="QSI186" s="7"/>
      <c r="QSJ186" s="7"/>
      <c r="QSK186" s="7"/>
      <c r="QSL186" s="7"/>
      <c r="QSM186" s="7"/>
      <c r="QSN186" s="7"/>
      <c r="QSO186" s="7"/>
      <c r="QSP186" s="7"/>
      <c r="QSQ186" s="7"/>
      <c r="QSR186" s="7"/>
      <c r="QSS186" s="7"/>
      <c r="QST186" s="7"/>
      <c r="QSU186" s="7"/>
      <c r="QSV186" s="7"/>
      <c r="QSW186" s="7"/>
      <c r="QSX186" s="7"/>
      <c r="QSY186" s="7"/>
      <c r="QSZ186" s="7"/>
      <c r="QTA186" s="7"/>
      <c r="QTB186" s="7"/>
      <c r="QTC186" s="7"/>
      <c r="QTD186" s="7"/>
      <c r="QTE186" s="7"/>
      <c r="QTF186" s="7"/>
      <c r="QTG186" s="7"/>
      <c r="QTH186" s="7"/>
      <c r="QTI186" s="7"/>
      <c r="QTJ186" s="7"/>
      <c r="QTK186" s="7"/>
      <c r="QTL186" s="7"/>
      <c r="QTM186" s="7"/>
      <c r="QTN186" s="7"/>
      <c r="QTO186" s="7"/>
      <c r="QTP186" s="7"/>
      <c r="QTQ186" s="7"/>
      <c r="QTR186" s="7"/>
      <c r="QTS186" s="7"/>
      <c r="QTT186" s="7"/>
      <c r="QTU186" s="7"/>
      <c r="QTV186" s="7"/>
      <c r="QTW186" s="7"/>
      <c r="QTX186" s="7"/>
      <c r="QTY186" s="7"/>
      <c r="QTZ186" s="7"/>
      <c r="QUA186" s="7"/>
      <c r="QUB186" s="7"/>
      <c r="QUC186" s="7"/>
      <c r="QUD186" s="7"/>
      <c r="QUE186" s="7"/>
      <c r="QUF186" s="7"/>
      <c r="QUG186" s="7"/>
      <c r="QUH186" s="7"/>
      <c r="QUI186" s="7"/>
      <c r="QUJ186" s="7"/>
      <c r="QUK186" s="7"/>
      <c r="QUL186" s="7"/>
      <c r="QUM186" s="7"/>
      <c r="QUN186" s="7"/>
      <c r="QUO186" s="7"/>
      <c r="QUP186" s="7"/>
      <c r="QUQ186" s="7"/>
      <c r="QUR186" s="7"/>
      <c r="QUS186" s="7"/>
      <c r="QUT186" s="7"/>
      <c r="QUU186" s="7"/>
      <c r="QUV186" s="7"/>
      <c r="QUW186" s="7"/>
      <c r="QUX186" s="7"/>
      <c r="QUY186" s="7"/>
      <c r="QUZ186" s="7"/>
      <c r="QVA186" s="7"/>
      <c r="QVB186" s="7"/>
      <c r="QVC186" s="7"/>
      <c r="QVD186" s="7"/>
      <c r="QVE186" s="7"/>
      <c r="QVF186" s="7"/>
      <c r="QVG186" s="7"/>
      <c r="QVH186" s="7"/>
      <c r="QVI186" s="7"/>
      <c r="QVJ186" s="7"/>
      <c r="QVK186" s="7"/>
      <c r="QVL186" s="7"/>
      <c r="QVM186" s="7"/>
      <c r="QVN186" s="7"/>
      <c r="QVO186" s="7"/>
      <c r="QVP186" s="7"/>
      <c r="QVQ186" s="7"/>
      <c r="QVR186" s="7"/>
      <c r="QVS186" s="7"/>
      <c r="QVT186" s="7"/>
      <c r="QVU186" s="7"/>
      <c r="QVV186" s="7"/>
      <c r="QVW186" s="7"/>
      <c r="QVX186" s="7"/>
      <c r="QVY186" s="7"/>
      <c r="QVZ186" s="7"/>
      <c r="QWA186" s="7"/>
      <c r="QWB186" s="7"/>
      <c r="QWC186" s="7"/>
      <c r="QWD186" s="7"/>
      <c r="QWE186" s="7"/>
      <c r="QWF186" s="7"/>
      <c r="QWG186" s="7"/>
      <c r="QWH186" s="7"/>
      <c r="QWI186" s="7"/>
      <c r="QWJ186" s="7"/>
      <c r="QWK186" s="7"/>
      <c r="QWL186" s="7"/>
      <c r="QWM186" s="7"/>
      <c r="QWN186" s="7"/>
      <c r="QWO186" s="7"/>
      <c r="QWP186" s="7"/>
      <c r="QWQ186" s="7"/>
      <c r="QWR186" s="7"/>
      <c r="QWS186" s="7"/>
      <c r="QWT186" s="7"/>
      <c r="QWU186" s="7"/>
      <c r="QWV186" s="7"/>
      <c r="QWW186" s="7"/>
      <c r="QWX186" s="7"/>
      <c r="QWY186" s="7"/>
      <c r="QWZ186" s="7"/>
      <c r="QXA186" s="7"/>
      <c r="QXB186" s="7"/>
      <c r="QXC186" s="7"/>
      <c r="QXD186" s="7"/>
      <c r="QXE186" s="7"/>
      <c r="QXF186" s="7"/>
      <c r="QXG186" s="7"/>
      <c r="QXH186" s="7"/>
      <c r="QXI186" s="7"/>
      <c r="QXJ186" s="7"/>
      <c r="QXK186" s="7"/>
      <c r="QXL186" s="7"/>
      <c r="QXM186" s="7"/>
      <c r="QXN186" s="7"/>
      <c r="QXO186" s="7"/>
      <c r="QXP186" s="7"/>
      <c r="QXQ186" s="7"/>
      <c r="QXR186" s="7"/>
      <c r="QXS186" s="7"/>
      <c r="QXT186" s="7"/>
      <c r="QXU186" s="7"/>
      <c r="QXV186" s="7"/>
      <c r="QXW186" s="7"/>
      <c r="QXX186" s="7"/>
      <c r="QXY186" s="7"/>
      <c r="QXZ186" s="7"/>
      <c r="QYA186" s="7"/>
      <c r="QYB186" s="7"/>
      <c r="QYC186" s="7"/>
      <c r="QYD186" s="7"/>
      <c r="QYE186" s="7"/>
      <c r="QYF186" s="7"/>
      <c r="QYG186" s="7"/>
      <c r="QYH186" s="7"/>
      <c r="QYI186" s="7"/>
      <c r="QYJ186" s="7"/>
      <c r="QYK186" s="7"/>
      <c r="QYL186" s="7"/>
      <c r="QYM186" s="7"/>
      <c r="QYN186" s="7"/>
      <c r="QYO186" s="7"/>
      <c r="QYP186" s="7"/>
      <c r="QYQ186" s="7"/>
      <c r="QYR186" s="7"/>
      <c r="QYS186" s="7"/>
      <c r="QYT186" s="7"/>
      <c r="QYU186" s="7"/>
      <c r="QYV186" s="7"/>
      <c r="QYW186" s="7"/>
      <c r="QYX186" s="7"/>
      <c r="QYY186" s="7"/>
      <c r="QYZ186" s="7"/>
      <c r="QZA186" s="7"/>
      <c r="QZB186" s="7"/>
      <c r="QZC186" s="7"/>
      <c r="QZD186" s="7"/>
      <c r="QZE186" s="7"/>
      <c r="QZF186" s="7"/>
      <c r="QZG186" s="7"/>
      <c r="QZH186" s="7"/>
      <c r="QZI186" s="7"/>
      <c r="QZJ186" s="7"/>
      <c r="QZK186" s="7"/>
      <c r="QZL186" s="7"/>
      <c r="QZM186" s="7"/>
      <c r="QZN186" s="7"/>
      <c r="QZO186" s="7"/>
      <c r="QZP186" s="7"/>
      <c r="QZQ186" s="7"/>
      <c r="QZR186" s="7"/>
      <c r="QZS186" s="7"/>
      <c r="QZT186" s="7"/>
      <c r="QZU186" s="7"/>
      <c r="QZV186" s="7"/>
      <c r="QZW186" s="7"/>
      <c r="QZX186" s="7"/>
      <c r="QZY186" s="7"/>
      <c r="QZZ186" s="7"/>
      <c r="RAA186" s="7"/>
      <c r="RAB186" s="7"/>
      <c r="RAC186" s="7"/>
      <c r="RAD186" s="7"/>
      <c r="RAE186" s="7"/>
      <c r="RAF186" s="7"/>
      <c r="RAG186" s="7"/>
      <c r="RAH186" s="7"/>
      <c r="RAI186" s="7"/>
      <c r="RAJ186" s="7"/>
      <c r="RAK186" s="7"/>
      <c r="RAL186" s="7"/>
      <c r="RAM186" s="7"/>
      <c r="RAN186" s="7"/>
      <c r="RAO186" s="7"/>
      <c r="RAP186" s="7"/>
      <c r="RAQ186" s="7"/>
      <c r="RAR186" s="7"/>
      <c r="RAS186" s="7"/>
      <c r="RAT186" s="7"/>
      <c r="RAU186" s="7"/>
      <c r="RAV186" s="7"/>
      <c r="RAW186" s="7"/>
      <c r="RAX186" s="7"/>
      <c r="RAY186" s="7"/>
      <c r="RAZ186" s="7"/>
      <c r="RBA186" s="7"/>
      <c r="RBB186" s="7"/>
      <c r="RBC186" s="7"/>
      <c r="RBD186" s="7"/>
      <c r="RBE186" s="7"/>
      <c r="RBF186" s="7"/>
      <c r="RBG186" s="7"/>
      <c r="RBH186" s="7"/>
      <c r="RBI186" s="7"/>
      <c r="RBJ186" s="7"/>
      <c r="RBK186" s="7"/>
      <c r="RBL186" s="7"/>
      <c r="RBM186" s="7"/>
      <c r="RBN186" s="7"/>
      <c r="RBO186" s="7"/>
      <c r="RBP186" s="7"/>
      <c r="RBQ186" s="7"/>
      <c r="RBR186" s="7"/>
      <c r="RBS186" s="7"/>
      <c r="RBT186" s="7"/>
      <c r="RBU186" s="7"/>
      <c r="RBV186" s="7"/>
      <c r="RBW186" s="7"/>
      <c r="RBX186" s="7"/>
      <c r="RBY186" s="7"/>
      <c r="RBZ186" s="7"/>
      <c r="RCA186" s="7"/>
      <c r="RCB186" s="7"/>
      <c r="RCC186" s="7"/>
      <c r="RCD186" s="7"/>
      <c r="RCE186" s="7"/>
      <c r="RCF186" s="7"/>
      <c r="RCG186" s="7"/>
      <c r="RCH186" s="7"/>
      <c r="RCI186" s="7"/>
      <c r="RCJ186" s="7"/>
      <c r="RCK186" s="7"/>
      <c r="RCL186" s="7"/>
      <c r="RCM186" s="7"/>
      <c r="RCN186" s="7"/>
      <c r="RCO186" s="7"/>
      <c r="RCP186" s="7"/>
      <c r="RCQ186" s="7"/>
      <c r="RCR186" s="7"/>
      <c r="RCS186" s="7"/>
      <c r="RCT186" s="7"/>
      <c r="RCU186" s="7"/>
      <c r="RCV186" s="7"/>
      <c r="RCW186" s="7"/>
      <c r="RCX186" s="7"/>
      <c r="RCY186" s="7"/>
      <c r="RCZ186" s="7"/>
      <c r="RDA186" s="7"/>
      <c r="RDB186" s="7"/>
      <c r="RDC186" s="7"/>
      <c r="RDD186" s="7"/>
      <c r="RDE186" s="7"/>
      <c r="RDF186" s="7"/>
      <c r="RDG186" s="7"/>
      <c r="RDH186" s="7"/>
      <c r="RDI186" s="7"/>
      <c r="RDJ186" s="7"/>
      <c r="RDK186" s="7"/>
      <c r="RDL186" s="7"/>
      <c r="RDM186" s="7"/>
      <c r="RDN186" s="7"/>
      <c r="RDO186" s="7"/>
      <c r="RDP186" s="7"/>
      <c r="RDQ186" s="7"/>
      <c r="RDR186" s="7"/>
      <c r="RDS186" s="7"/>
      <c r="RDT186" s="7"/>
      <c r="RDU186" s="7"/>
      <c r="RDV186" s="7"/>
      <c r="RDW186" s="7"/>
      <c r="RDX186" s="7"/>
      <c r="RDY186" s="7"/>
      <c r="RDZ186" s="7"/>
      <c r="REA186" s="7"/>
      <c r="REB186" s="7"/>
      <c r="REC186" s="7"/>
      <c r="RED186" s="7"/>
      <c r="REE186" s="7"/>
      <c r="REF186" s="7"/>
      <c r="REG186" s="7"/>
      <c r="REH186" s="7"/>
      <c r="REI186" s="7"/>
      <c r="REJ186" s="7"/>
      <c r="REK186" s="7"/>
      <c r="REL186" s="7"/>
      <c r="REM186" s="7"/>
      <c r="REN186" s="7"/>
      <c r="REO186" s="7"/>
      <c r="REP186" s="7"/>
      <c r="REQ186" s="7"/>
      <c r="RER186" s="7"/>
      <c r="RES186" s="7"/>
      <c r="RET186" s="7"/>
      <c r="REU186" s="7"/>
      <c r="REV186" s="7"/>
      <c r="REW186" s="7"/>
      <c r="REX186" s="7"/>
      <c r="REY186" s="7"/>
      <c r="REZ186" s="7"/>
      <c r="RFA186" s="7"/>
      <c r="RFB186" s="7"/>
      <c r="RFC186" s="7"/>
      <c r="RFD186" s="7"/>
      <c r="RFE186" s="7"/>
      <c r="RFF186" s="7"/>
      <c r="RFG186" s="7"/>
      <c r="RFH186" s="7"/>
      <c r="RFI186" s="7"/>
      <c r="RFJ186" s="7"/>
      <c r="RFK186" s="7"/>
      <c r="RFL186" s="7"/>
      <c r="RFM186" s="7"/>
      <c r="RFN186" s="7"/>
      <c r="RFO186" s="7"/>
      <c r="RFP186" s="7"/>
      <c r="RFQ186" s="7"/>
      <c r="RFR186" s="7"/>
      <c r="RFS186" s="7"/>
      <c r="RFT186" s="7"/>
      <c r="RFU186" s="7"/>
      <c r="RFV186" s="7"/>
      <c r="RFW186" s="7"/>
      <c r="RFX186" s="7"/>
      <c r="RFY186" s="7"/>
      <c r="RFZ186" s="7"/>
      <c r="RGA186" s="7"/>
      <c r="RGB186" s="7"/>
      <c r="RGC186" s="7"/>
      <c r="RGD186" s="7"/>
      <c r="RGE186" s="7"/>
      <c r="RGF186" s="7"/>
      <c r="RGG186" s="7"/>
      <c r="RGH186" s="7"/>
      <c r="RGI186" s="7"/>
      <c r="RGJ186" s="7"/>
      <c r="RGK186" s="7"/>
      <c r="RGL186" s="7"/>
      <c r="RGM186" s="7"/>
      <c r="RGN186" s="7"/>
      <c r="RGO186" s="7"/>
      <c r="RGP186" s="7"/>
      <c r="RGQ186" s="7"/>
      <c r="RGR186" s="7"/>
      <c r="RGS186" s="7"/>
      <c r="RGT186" s="7"/>
      <c r="RGU186" s="7"/>
      <c r="RGV186" s="7"/>
      <c r="RGW186" s="7"/>
      <c r="RGX186" s="7"/>
      <c r="RGY186" s="7"/>
      <c r="RGZ186" s="7"/>
      <c r="RHA186" s="7"/>
      <c r="RHB186" s="7"/>
      <c r="RHC186" s="7"/>
      <c r="RHD186" s="7"/>
      <c r="RHE186" s="7"/>
      <c r="RHF186" s="7"/>
      <c r="RHG186" s="7"/>
      <c r="RHH186" s="7"/>
      <c r="RHI186" s="7"/>
      <c r="RHJ186" s="7"/>
      <c r="RHK186" s="7"/>
      <c r="RHL186" s="7"/>
      <c r="RHM186" s="7"/>
      <c r="RHN186" s="7"/>
      <c r="RHO186" s="7"/>
      <c r="RHP186" s="7"/>
      <c r="RHQ186" s="7"/>
      <c r="RHR186" s="7"/>
      <c r="RHS186" s="7"/>
      <c r="RHT186" s="7"/>
      <c r="RHU186" s="7"/>
      <c r="RHV186" s="7"/>
      <c r="RHW186" s="7"/>
      <c r="RHX186" s="7"/>
      <c r="RHY186" s="7"/>
      <c r="RHZ186" s="7"/>
      <c r="RIA186" s="7"/>
      <c r="RIB186" s="7"/>
      <c r="RIC186" s="7"/>
      <c r="RID186" s="7"/>
      <c r="RIE186" s="7"/>
      <c r="RIF186" s="7"/>
      <c r="RIG186" s="7"/>
      <c r="RIH186" s="7"/>
      <c r="RII186" s="7"/>
      <c r="RIJ186" s="7"/>
      <c r="RIK186" s="7"/>
      <c r="RIL186" s="7"/>
      <c r="RIM186" s="7"/>
      <c r="RIN186" s="7"/>
      <c r="RIO186" s="7"/>
      <c r="RIP186" s="7"/>
      <c r="RIQ186" s="7"/>
      <c r="RIR186" s="7"/>
      <c r="RIS186" s="7"/>
      <c r="RIT186" s="7"/>
      <c r="RIU186" s="7"/>
      <c r="RIV186" s="7"/>
      <c r="RIW186" s="7"/>
      <c r="RIX186" s="7"/>
      <c r="RIY186" s="7"/>
      <c r="RIZ186" s="7"/>
      <c r="RJA186" s="7"/>
      <c r="RJB186" s="7"/>
      <c r="RJC186" s="7"/>
      <c r="RJD186" s="7"/>
      <c r="RJE186" s="7"/>
      <c r="RJF186" s="7"/>
      <c r="RJG186" s="7"/>
      <c r="RJH186" s="7"/>
      <c r="RJI186" s="7"/>
      <c r="RJJ186" s="7"/>
      <c r="RJK186" s="7"/>
      <c r="RJL186" s="7"/>
      <c r="RJM186" s="7"/>
      <c r="RJN186" s="7"/>
      <c r="RJO186" s="7"/>
      <c r="RJP186" s="7"/>
      <c r="RJQ186" s="7"/>
      <c r="RJR186" s="7"/>
      <c r="RJS186" s="7"/>
      <c r="RJT186" s="7"/>
      <c r="RJU186" s="7"/>
      <c r="RJV186" s="7"/>
      <c r="RJW186" s="7"/>
      <c r="RJX186" s="7"/>
      <c r="RJY186" s="7"/>
      <c r="RJZ186" s="7"/>
      <c r="RKA186" s="7"/>
      <c r="RKB186" s="7"/>
      <c r="RKC186" s="7"/>
      <c r="RKD186" s="7"/>
      <c r="RKE186" s="7"/>
      <c r="RKF186" s="7"/>
      <c r="RKG186" s="7"/>
      <c r="RKH186" s="7"/>
      <c r="RKI186" s="7"/>
      <c r="RKJ186" s="7"/>
      <c r="RKK186" s="7"/>
      <c r="RKL186" s="7"/>
      <c r="RKM186" s="7"/>
      <c r="RKN186" s="7"/>
      <c r="RKO186" s="7"/>
      <c r="RKP186" s="7"/>
      <c r="RKQ186" s="7"/>
      <c r="RKR186" s="7"/>
      <c r="RKS186" s="7"/>
      <c r="RKT186" s="7"/>
      <c r="RKU186" s="7"/>
      <c r="RKV186" s="7"/>
      <c r="RKW186" s="7"/>
      <c r="RKX186" s="7"/>
      <c r="RKY186" s="7"/>
      <c r="RKZ186" s="7"/>
      <c r="RLA186" s="7"/>
      <c r="RLB186" s="7"/>
      <c r="RLC186" s="7"/>
      <c r="RLD186" s="7"/>
      <c r="RLE186" s="7"/>
      <c r="RLF186" s="7"/>
      <c r="RLG186" s="7"/>
      <c r="RLH186" s="7"/>
      <c r="RLI186" s="7"/>
      <c r="RLJ186" s="7"/>
      <c r="RLK186" s="7"/>
      <c r="RLL186" s="7"/>
      <c r="RLM186" s="7"/>
      <c r="RLN186" s="7"/>
      <c r="RLO186" s="7"/>
      <c r="RLP186" s="7"/>
      <c r="RLQ186" s="7"/>
      <c r="RLR186" s="7"/>
      <c r="RLS186" s="7"/>
      <c r="RLT186" s="7"/>
      <c r="RLU186" s="7"/>
      <c r="RLV186" s="7"/>
      <c r="RLW186" s="7"/>
      <c r="RLX186" s="7"/>
      <c r="RLY186" s="7"/>
      <c r="RLZ186" s="7"/>
      <c r="RMA186" s="7"/>
      <c r="RMB186" s="7"/>
      <c r="RMC186" s="7"/>
      <c r="RMD186" s="7"/>
      <c r="RME186" s="7"/>
      <c r="RMF186" s="7"/>
      <c r="RMG186" s="7"/>
      <c r="RMH186" s="7"/>
      <c r="RMI186" s="7"/>
      <c r="RMJ186" s="7"/>
      <c r="RMK186" s="7"/>
      <c r="RML186" s="7"/>
      <c r="RMM186" s="7"/>
      <c r="RMN186" s="7"/>
      <c r="RMO186" s="7"/>
      <c r="RMP186" s="7"/>
      <c r="RMQ186" s="7"/>
      <c r="RMR186" s="7"/>
      <c r="RMS186" s="7"/>
      <c r="RMT186" s="7"/>
      <c r="RMU186" s="7"/>
      <c r="RMV186" s="7"/>
      <c r="RMW186" s="7"/>
      <c r="RMX186" s="7"/>
      <c r="RMY186" s="7"/>
      <c r="RMZ186" s="7"/>
      <c r="RNA186" s="7"/>
      <c r="RNB186" s="7"/>
      <c r="RNC186" s="7"/>
      <c r="RND186" s="7"/>
      <c r="RNE186" s="7"/>
      <c r="RNF186" s="7"/>
      <c r="RNG186" s="7"/>
      <c r="RNH186" s="7"/>
      <c r="RNI186" s="7"/>
      <c r="RNJ186" s="7"/>
      <c r="RNK186" s="7"/>
      <c r="RNL186" s="7"/>
      <c r="RNM186" s="7"/>
      <c r="RNN186" s="7"/>
      <c r="RNO186" s="7"/>
      <c r="RNP186" s="7"/>
      <c r="RNQ186" s="7"/>
      <c r="RNR186" s="7"/>
      <c r="RNS186" s="7"/>
      <c r="RNT186" s="7"/>
      <c r="RNU186" s="7"/>
      <c r="RNV186" s="7"/>
      <c r="RNW186" s="7"/>
      <c r="RNX186" s="7"/>
      <c r="RNY186" s="7"/>
      <c r="RNZ186" s="7"/>
      <c r="ROA186" s="7"/>
      <c r="ROB186" s="7"/>
      <c r="ROC186" s="7"/>
      <c r="ROD186" s="7"/>
      <c r="ROE186" s="7"/>
      <c r="ROF186" s="7"/>
      <c r="ROG186" s="7"/>
      <c r="ROH186" s="7"/>
      <c r="ROI186" s="7"/>
      <c r="ROJ186" s="7"/>
      <c r="ROK186" s="7"/>
      <c r="ROL186" s="7"/>
      <c r="ROM186" s="7"/>
      <c r="RON186" s="7"/>
      <c r="ROO186" s="7"/>
      <c r="ROP186" s="7"/>
      <c r="ROQ186" s="7"/>
      <c r="ROR186" s="7"/>
      <c r="ROS186" s="7"/>
      <c r="ROT186" s="7"/>
      <c r="ROU186" s="7"/>
      <c r="ROV186" s="7"/>
      <c r="ROW186" s="7"/>
      <c r="ROX186" s="7"/>
      <c r="ROY186" s="7"/>
      <c r="ROZ186" s="7"/>
      <c r="RPA186" s="7"/>
      <c r="RPB186" s="7"/>
      <c r="RPC186" s="7"/>
      <c r="RPD186" s="7"/>
      <c r="RPE186" s="7"/>
      <c r="RPF186" s="7"/>
      <c r="RPG186" s="7"/>
      <c r="RPH186" s="7"/>
      <c r="RPI186" s="7"/>
      <c r="RPJ186" s="7"/>
      <c r="RPK186" s="7"/>
      <c r="RPL186" s="7"/>
      <c r="RPM186" s="7"/>
      <c r="RPN186" s="7"/>
      <c r="RPO186" s="7"/>
      <c r="RPP186" s="7"/>
      <c r="RPQ186" s="7"/>
      <c r="RPR186" s="7"/>
      <c r="RPS186" s="7"/>
      <c r="RPT186" s="7"/>
      <c r="RPU186" s="7"/>
      <c r="RPV186" s="7"/>
      <c r="RPW186" s="7"/>
      <c r="RPX186" s="7"/>
      <c r="RPY186" s="7"/>
      <c r="RPZ186" s="7"/>
      <c r="RQA186" s="7"/>
      <c r="RQB186" s="7"/>
      <c r="RQC186" s="7"/>
      <c r="RQD186" s="7"/>
      <c r="RQE186" s="7"/>
      <c r="RQF186" s="7"/>
      <c r="RQG186" s="7"/>
      <c r="RQH186" s="7"/>
      <c r="RQI186" s="7"/>
      <c r="RQJ186" s="7"/>
      <c r="RQK186" s="7"/>
      <c r="RQL186" s="7"/>
      <c r="RQM186" s="7"/>
      <c r="RQN186" s="7"/>
      <c r="RQO186" s="7"/>
      <c r="RQP186" s="7"/>
      <c r="RQQ186" s="7"/>
      <c r="RQR186" s="7"/>
      <c r="RQS186" s="7"/>
      <c r="RQT186" s="7"/>
      <c r="RQU186" s="7"/>
      <c r="RQV186" s="7"/>
      <c r="RQW186" s="7"/>
      <c r="RQX186" s="7"/>
      <c r="RQY186" s="7"/>
      <c r="RQZ186" s="7"/>
      <c r="RRA186" s="7"/>
      <c r="RRB186" s="7"/>
      <c r="RRC186" s="7"/>
      <c r="RRD186" s="7"/>
      <c r="RRE186" s="7"/>
      <c r="RRF186" s="7"/>
      <c r="RRG186" s="7"/>
      <c r="RRH186" s="7"/>
      <c r="RRI186" s="7"/>
      <c r="RRJ186" s="7"/>
      <c r="RRK186" s="7"/>
      <c r="RRL186" s="7"/>
      <c r="RRM186" s="7"/>
      <c r="RRN186" s="7"/>
      <c r="RRO186" s="7"/>
      <c r="RRP186" s="7"/>
      <c r="RRQ186" s="7"/>
      <c r="RRR186" s="7"/>
      <c r="RRS186" s="7"/>
      <c r="RRT186" s="7"/>
      <c r="RRU186" s="7"/>
      <c r="RRV186" s="7"/>
      <c r="RRW186" s="7"/>
      <c r="RRX186" s="7"/>
      <c r="RRY186" s="7"/>
      <c r="RRZ186" s="7"/>
      <c r="RSA186" s="7"/>
      <c r="RSB186" s="7"/>
      <c r="RSC186" s="7"/>
      <c r="RSD186" s="7"/>
      <c r="RSE186" s="7"/>
      <c r="RSF186" s="7"/>
      <c r="RSG186" s="7"/>
      <c r="RSH186" s="7"/>
      <c r="RSI186" s="7"/>
      <c r="RSJ186" s="7"/>
      <c r="RSK186" s="7"/>
      <c r="RSL186" s="7"/>
      <c r="RSM186" s="7"/>
      <c r="RSN186" s="7"/>
      <c r="RSO186" s="7"/>
      <c r="RSP186" s="7"/>
      <c r="RSQ186" s="7"/>
      <c r="RSR186" s="7"/>
      <c r="RSS186" s="7"/>
      <c r="RST186" s="7"/>
      <c r="RSU186" s="7"/>
      <c r="RSV186" s="7"/>
      <c r="RSW186" s="7"/>
      <c r="RSX186" s="7"/>
      <c r="RSY186" s="7"/>
      <c r="RSZ186" s="7"/>
      <c r="RTA186" s="7"/>
      <c r="RTB186" s="7"/>
      <c r="RTC186" s="7"/>
      <c r="RTD186" s="7"/>
      <c r="RTE186" s="7"/>
      <c r="RTF186" s="7"/>
      <c r="RTG186" s="7"/>
      <c r="RTH186" s="7"/>
      <c r="RTI186" s="7"/>
      <c r="RTJ186" s="7"/>
      <c r="RTK186" s="7"/>
      <c r="RTL186" s="7"/>
      <c r="RTM186" s="7"/>
      <c r="RTN186" s="7"/>
      <c r="RTO186" s="7"/>
      <c r="RTP186" s="7"/>
      <c r="RTQ186" s="7"/>
      <c r="RTR186" s="7"/>
      <c r="RTS186" s="7"/>
      <c r="RTT186" s="7"/>
      <c r="RTU186" s="7"/>
      <c r="RTV186" s="7"/>
      <c r="RTW186" s="7"/>
      <c r="RTX186" s="7"/>
      <c r="RTY186" s="7"/>
      <c r="RTZ186" s="7"/>
      <c r="RUA186" s="7"/>
      <c r="RUB186" s="7"/>
      <c r="RUC186" s="7"/>
      <c r="RUD186" s="7"/>
      <c r="RUE186" s="7"/>
      <c r="RUF186" s="7"/>
      <c r="RUG186" s="7"/>
      <c r="RUH186" s="7"/>
      <c r="RUI186" s="7"/>
      <c r="RUJ186" s="7"/>
      <c r="RUK186" s="7"/>
      <c r="RUL186" s="7"/>
      <c r="RUM186" s="7"/>
      <c r="RUN186" s="7"/>
      <c r="RUO186" s="7"/>
      <c r="RUP186" s="7"/>
      <c r="RUQ186" s="7"/>
      <c r="RUR186" s="7"/>
      <c r="RUS186" s="7"/>
      <c r="RUT186" s="7"/>
      <c r="RUU186" s="7"/>
      <c r="RUV186" s="7"/>
      <c r="RUW186" s="7"/>
      <c r="RUX186" s="7"/>
      <c r="RUY186" s="7"/>
      <c r="RUZ186" s="7"/>
      <c r="RVA186" s="7"/>
      <c r="RVB186" s="7"/>
      <c r="RVC186" s="7"/>
      <c r="RVD186" s="7"/>
      <c r="RVE186" s="7"/>
      <c r="RVF186" s="7"/>
      <c r="RVG186" s="7"/>
      <c r="RVH186" s="7"/>
      <c r="RVI186" s="7"/>
      <c r="RVJ186" s="7"/>
      <c r="RVK186" s="7"/>
      <c r="RVL186" s="7"/>
      <c r="RVM186" s="7"/>
      <c r="RVN186" s="7"/>
      <c r="RVO186" s="7"/>
      <c r="RVP186" s="7"/>
      <c r="RVQ186" s="7"/>
      <c r="RVR186" s="7"/>
      <c r="RVS186" s="7"/>
      <c r="RVT186" s="7"/>
      <c r="RVU186" s="7"/>
      <c r="RVV186" s="7"/>
      <c r="RVW186" s="7"/>
      <c r="RVX186" s="7"/>
      <c r="RVY186" s="7"/>
      <c r="RVZ186" s="7"/>
      <c r="RWA186" s="7"/>
      <c r="RWB186" s="7"/>
      <c r="RWC186" s="7"/>
      <c r="RWD186" s="7"/>
      <c r="RWE186" s="7"/>
      <c r="RWF186" s="7"/>
      <c r="RWG186" s="7"/>
      <c r="RWH186" s="7"/>
      <c r="RWI186" s="7"/>
      <c r="RWJ186" s="7"/>
      <c r="RWK186" s="7"/>
      <c r="RWL186" s="7"/>
      <c r="RWM186" s="7"/>
      <c r="RWN186" s="7"/>
      <c r="RWO186" s="7"/>
      <c r="RWP186" s="7"/>
      <c r="RWQ186" s="7"/>
      <c r="RWR186" s="7"/>
      <c r="RWS186" s="7"/>
      <c r="RWT186" s="7"/>
      <c r="RWU186" s="7"/>
      <c r="RWV186" s="7"/>
      <c r="RWW186" s="7"/>
      <c r="RWX186" s="7"/>
      <c r="RWY186" s="7"/>
      <c r="RWZ186" s="7"/>
      <c r="RXA186" s="7"/>
      <c r="RXB186" s="7"/>
      <c r="RXC186" s="7"/>
      <c r="RXD186" s="7"/>
      <c r="RXE186" s="7"/>
      <c r="RXF186" s="7"/>
      <c r="RXG186" s="7"/>
      <c r="RXH186" s="7"/>
      <c r="RXI186" s="7"/>
      <c r="RXJ186" s="7"/>
      <c r="RXK186" s="7"/>
      <c r="RXL186" s="7"/>
      <c r="RXM186" s="7"/>
      <c r="RXN186" s="7"/>
      <c r="RXO186" s="7"/>
      <c r="RXP186" s="7"/>
      <c r="RXQ186" s="7"/>
      <c r="RXR186" s="7"/>
      <c r="RXS186" s="7"/>
      <c r="RXT186" s="7"/>
      <c r="RXU186" s="7"/>
      <c r="RXV186" s="7"/>
      <c r="RXW186" s="7"/>
      <c r="RXX186" s="7"/>
      <c r="RXY186" s="7"/>
      <c r="RXZ186" s="7"/>
      <c r="RYA186" s="7"/>
      <c r="RYB186" s="7"/>
      <c r="RYC186" s="7"/>
      <c r="RYD186" s="7"/>
      <c r="RYE186" s="7"/>
      <c r="RYF186" s="7"/>
      <c r="RYG186" s="7"/>
      <c r="RYH186" s="7"/>
      <c r="RYI186" s="7"/>
      <c r="RYJ186" s="7"/>
      <c r="RYK186" s="7"/>
      <c r="RYL186" s="7"/>
      <c r="RYM186" s="7"/>
      <c r="RYN186" s="7"/>
      <c r="RYO186" s="7"/>
      <c r="RYP186" s="7"/>
      <c r="RYQ186" s="7"/>
      <c r="RYR186" s="7"/>
      <c r="RYS186" s="7"/>
      <c r="RYT186" s="7"/>
      <c r="RYU186" s="7"/>
      <c r="RYV186" s="7"/>
      <c r="RYW186" s="7"/>
      <c r="RYX186" s="7"/>
      <c r="RYY186" s="7"/>
      <c r="RYZ186" s="7"/>
      <c r="RZA186" s="7"/>
      <c r="RZB186" s="7"/>
      <c r="RZC186" s="7"/>
      <c r="RZD186" s="7"/>
      <c r="RZE186" s="7"/>
      <c r="RZF186" s="7"/>
      <c r="RZG186" s="7"/>
      <c r="RZH186" s="7"/>
      <c r="RZI186" s="7"/>
      <c r="RZJ186" s="7"/>
      <c r="RZK186" s="7"/>
      <c r="RZL186" s="7"/>
      <c r="RZM186" s="7"/>
      <c r="RZN186" s="7"/>
      <c r="RZO186" s="7"/>
      <c r="RZP186" s="7"/>
      <c r="RZQ186" s="7"/>
      <c r="RZR186" s="7"/>
      <c r="RZS186" s="7"/>
      <c r="RZT186" s="7"/>
      <c r="RZU186" s="7"/>
      <c r="RZV186" s="7"/>
      <c r="RZW186" s="7"/>
      <c r="RZX186" s="7"/>
      <c r="RZY186" s="7"/>
      <c r="RZZ186" s="7"/>
      <c r="SAA186" s="7"/>
      <c r="SAB186" s="7"/>
      <c r="SAC186" s="7"/>
      <c r="SAD186" s="7"/>
      <c r="SAE186" s="7"/>
      <c r="SAF186" s="7"/>
      <c r="SAG186" s="7"/>
      <c r="SAH186" s="7"/>
      <c r="SAI186" s="7"/>
      <c r="SAJ186" s="7"/>
      <c r="SAK186" s="7"/>
      <c r="SAL186" s="7"/>
      <c r="SAM186" s="7"/>
      <c r="SAN186" s="7"/>
      <c r="SAO186" s="7"/>
      <c r="SAP186" s="7"/>
      <c r="SAQ186" s="7"/>
      <c r="SAR186" s="7"/>
      <c r="SAS186" s="7"/>
      <c r="SAT186" s="7"/>
      <c r="SAU186" s="7"/>
      <c r="SAV186" s="7"/>
      <c r="SAW186" s="7"/>
      <c r="SAX186" s="7"/>
      <c r="SAY186" s="7"/>
      <c r="SAZ186" s="7"/>
      <c r="SBA186" s="7"/>
      <c r="SBB186" s="7"/>
      <c r="SBC186" s="7"/>
      <c r="SBD186" s="7"/>
      <c r="SBE186" s="7"/>
      <c r="SBF186" s="7"/>
      <c r="SBG186" s="7"/>
      <c r="SBH186" s="7"/>
      <c r="SBI186" s="7"/>
      <c r="SBJ186" s="7"/>
      <c r="SBK186" s="7"/>
      <c r="SBL186" s="7"/>
      <c r="SBM186" s="7"/>
      <c r="SBN186" s="7"/>
      <c r="SBO186" s="7"/>
      <c r="SBP186" s="7"/>
      <c r="SBQ186" s="7"/>
      <c r="SBR186" s="7"/>
      <c r="SBS186" s="7"/>
      <c r="SBT186" s="7"/>
      <c r="SBU186" s="7"/>
      <c r="SBV186" s="7"/>
      <c r="SBW186" s="7"/>
      <c r="SBX186" s="7"/>
      <c r="SBY186" s="7"/>
      <c r="SBZ186" s="7"/>
      <c r="SCA186" s="7"/>
      <c r="SCB186" s="7"/>
      <c r="SCC186" s="7"/>
      <c r="SCD186" s="7"/>
      <c r="SCE186" s="7"/>
      <c r="SCF186" s="7"/>
      <c r="SCG186" s="7"/>
      <c r="SCH186" s="7"/>
      <c r="SCI186" s="7"/>
      <c r="SCJ186" s="7"/>
      <c r="SCK186" s="7"/>
      <c r="SCL186" s="7"/>
      <c r="SCM186" s="7"/>
      <c r="SCN186" s="7"/>
      <c r="SCO186" s="7"/>
      <c r="SCP186" s="7"/>
      <c r="SCQ186" s="7"/>
      <c r="SCR186" s="7"/>
      <c r="SCS186" s="7"/>
      <c r="SCT186" s="7"/>
      <c r="SCU186" s="7"/>
      <c r="SCV186" s="7"/>
      <c r="SCW186" s="7"/>
      <c r="SCX186" s="7"/>
      <c r="SCY186" s="7"/>
      <c r="SCZ186" s="7"/>
      <c r="SDA186" s="7"/>
      <c r="SDB186" s="7"/>
      <c r="SDC186" s="7"/>
      <c r="SDD186" s="7"/>
      <c r="SDE186" s="7"/>
      <c r="SDF186" s="7"/>
      <c r="SDG186" s="7"/>
      <c r="SDH186" s="7"/>
      <c r="SDI186" s="7"/>
      <c r="SDJ186" s="7"/>
      <c r="SDK186" s="7"/>
      <c r="SDL186" s="7"/>
      <c r="SDM186" s="7"/>
      <c r="SDN186" s="7"/>
      <c r="SDO186" s="7"/>
      <c r="SDP186" s="7"/>
      <c r="SDQ186" s="7"/>
      <c r="SDR186" s="7"/>
      <c r="SDS186" s="7"/>
      <c r="SDT186" s="7"/>
      <c r="SDU186" s="7"/>
      <c r="SDV186" s="7"/>
      <c r="SDW186" s="7"/>
      <c r="SDX186" s="7"/>
      <c r="SDY186" s="7"/>
      <c r="SDZ186" s="7"/>
      <c r="SEA186" s="7"/>
      <c r="SEB186" s="7"/>
      <c r="SEC186" s="7"/>
      <c r="SED186" s="7"/>
      <c r="SEE186" s="7"/>
      <c r="SEF186" s="7"/>
      <c r="SEG186" s="7"/>
      <c r="SEH186" s="7"/>
      <c r="SEI186" s="7"/>
      <c r="SEJ186" s="7"/>
      <c r="SEK186" s="7"/>
      <c r="SEL186" s="7"/>
      <c r="SEM186" s="7"/>
      <c r="SEN186" s="7"/>
      <c r="SEO186" s="7"/>
      <c r="SEP186" s="7"/>
      <c r="SEQ186" s="7"/>
      <c r="SER186" s="7"/>
      <c r="SES186" s="7"/>
      <c r="SET186" s="7"/>
      <c r="SEU186" s="7"/>
      <c r="SEV186" s="7"/>
      <c r="SEW186" s="7"/>
      <c r="SEX186" s="7"/>
      <c r="SEY186" s="7"/>
      <c r="SEZ186" s="7"/>
      <c r="SFA186" s="7"/>
      <c r="SFB186" s="7"/>
      <c r="SFC186" s="7"/>
      <c r="SFD186" s="7"/>
      <c r="SFE186" s="7"/>
      <c r="SFF186" s="7"/>
      <c r="SFG186" s="7"/>
      <c r="SFH186" s="7"/>
      <c r="SFI186" s="7"/>
      <c r="SFJ186" s="7"/>
      <c r="SFK186" s="7"/>
      <c r="SFL186" s="7"/>
      <c r="SFM186" s="7"/>
      <c r="SFN186" s="7"/>
      <c r="SFO186" s="7"/>
      <c r="SFP186" s="7"/>
      <c r="SFQ186" s="7"/>
      <c r="SFR186" s="7"/>
      <c r="SFS186" s="7"/>
      <c r="SFT186" s="7"/>
      <c r="SFU186" s="7"/>
      <c r="SFV186" s="7"/>
      <c r="SFW186" s="7"/>
      <c r="SFX186" s="7"/>
      <c r="SFY186" s="7"/>
      <c r="SFZ186" s="7"/>
      <c r="SGA186" s="7"/>
      <c r="SGB186" s="7"/>
      <c r="SGC186" s="7"/>
      <c r="SGD186" s="7"/>
      <c r="SGE186" s="7"/>
      <c r="SGF186" s="7"/>
      <c r="SGG186" s="7"/>
      <c r="SGH186" s="7"/>
      <c r="SGI186" s="7"/>
      <c r="SGJ186" s="7"/>
      <c r="SGK186" s="7"/>
      <c r="SGL186" s="7"/>
      <c r="SGM186" s="7"/>
      <c r="SGN186" s="7"/>
      <c r="SGO186" s="7"/>
      <c r="SGP186" s="7"/>
      <c r="SGQ186" s="7"/>
      <c r="SGR186" s="7"/>
      <c r="SGS186" s="7"/>
      <c r="SGT186" s="7"/>
      <c r="SGU186" s="7"/>
      <c r="SGV186" s="7"/>
      <c r="SGW186" s="7"/>
      <c r="SGX186" s="7"/>
      <c r="SGY186" s="7"/>
      <c r="SGZ186" s="7"/>
      <c r="SHA186" s="7"/>
      <c r="SHB186" s="7"/>
      <c r="SHC186" s="7"/>
      <c r="SHD186" s="7"/>
      <c r="SHE186" s="7"/>
      <c r="SHF186" s="7"/>
      <c r="SHG186" s="7"/>
      <c r="SHH186" s="7"/>
      <c r="SHI186" s="7"/>
      <c r="SHJ186" s="7"/>
      <c r="SHK186" s="7"/>
      <c r="SHL186" s="7"/>
      <c r="SHM186" s="7"/>
      <c r="SHN186" s="7"/>
      <c r="SHO186" s="7"/>
      <c r="SHP186" s="7"/>
      <c r="SHQ186" s="7"/>
      <c r="SHR186" s="7"/>
      <c r="SHS186" s="7"/>
      <c r="SHT186" s="7"/>
      <c r="SHU186" s="7"/>
      <c r="SHV186" s="7"/>
      <c r="SHW186" s="7"/>
      <c r="SHX186" s="7"/>
      <c r="SHY186" s="7"/>
      <c r="SHZ186" s="7"/>
      <c r="SIA186" s="7"/>
      <c r="SIB186" s="7"/>
      <c r="SIC186" s="7"/>
      <c r="SID186" s="7"/>
      <c r="SIE186" s="7"/>
      <c r="SIF186" s="7"/>
      <c r="SIG186" s="7"/>
      <c r="SIH186" s="7"/>
      <c r="SII186" s="7"/>
      <c r="SIJ186" s="7"/>
      <c r="SIK186" s="7"/>
      <c r="SIL186" s="7"/>
      <c r="SIM186" s="7"/>
      <c r="SIN186" s="7"/>
      <c r="SIO186" s="7"/>
      <c r="SIP186" s="7"/>
      <c r="SIQ186" s="7"/>
      <c r="SIR186" s="7"/>
      <c r="SIS186" s="7"/>
      <c r="SIT186" s="7"/>
      <c r="SIU186" s="7"/>
      <c r="SIV186" s="7"/>
      <c r="SIW186" s="7"/>
      <c r="SIX186" s="7"/>
      <c r="SIY186" s="7"/>
      <c r="SIZ186" s="7"/>
      <c r="SJA186" s="7"/>
      <c r="SJB186" s="7"/>
      <c r="SJC186" s="7"/>
      <c r="SJD186" s="7"/>
      <c r="SJE186" s="7"/>
      <c r="SJF186" s="7"/>
      <c r="SJG186" s="7"/>
      <c r="SJH186" s="7"/>
      <c r="SJI186" s="7"/>
      <c r="SJJ186" s="7"/>
      <c r="SJK186" s="7"/>
      <c r="SJL186" s="7"/>
      <c r="SJM186" s="7"/>
      <c r="SJN186" s="7"/>
      <c r="SJO186" s="7"/>
      <c r="SJP186" s="7"/>
      <c r="SJQ186" s="7"/>
      <c r="SJR186" s="7"/>
      <c r="SJS186" s="7"/>
      <c r="SJT186" s="7"/>
      <c r="SJU186" s="7"/>
      <c r="SJV186" s="7"/>
      <c r="SJW186" s="7"/>
      <c r="SJX186" s="7"/>
      <c r="SJY186" s="7"/>
      <c r="SJZ186" s="7"/>
      <c r="SKA186" s="7"/>
      <c r="SKB186" s="7"/>
      <c r="SKC186" s="7"/>
      <c r="SKD186" s="7"/>
      <c r="SKE186" s="7"/>
      <c r="SKF186" s="7"/>
      <c r="SKG186" s="7"/>
      <c r="SKH186" s="7"/>
      <c r="SKI186" s="7"/>
      <c r="SKJ186" s="7"/>
      <c r="SKK186" s="7"/>
      <c r="SKL186" s="7"/>
      <c r="SKM186" s="7"/>
      <c r="SKN186" s="7"/>
      <c r="SKO186" s="7"/>
      <c r="SKP186" s="7"/>
      <c r="SKQ186" s="7"/>
      <c r="SKR186" s="7"/>
      <c r="SKS186" s="7"/>
      <c r="SKT186" s="7"/>
      <c r="SKU186" s="7"/>
      <c r="SKV186" s="7"/>
      <c r="SKW186" s="7"/>
      <c r="SKX186" s="7"/>
      <c r="SKY186" s="7"/>
      <c r="SKZ186" s="7"/>
      <c r="SLA186" s="7"/>
      <c r="SLB186" s="7"/>
      <c r="SLC186" s="7"/>
      <c r="SLD186" s="7"/>
      <c r="SLE186" s="7"/>
      <c r="SLF186" s="7"/>
      <c r="SLG186" s="7"/>
      <c r="SLH186" s="7"/>
      <c r="SLI186" s="7"/>
      <c r="SLJ186" s="7"/>
      <c r="SLK186" s="7"/>
      <c r="SLL186" s="7"/>
      <c r="SLM186" s="7"/>
      <c r="SLN186" s="7"/>
      <c r="SLO186" s="7"/>
      <c r="SLP186" s="7"/>
      <c r="SLQ186" s="7"/>
      <c r="SLR186" s="7"/>
      <c r="SLS186" s="7"/>
      <c r="SLT186" s="7"/>
      <c r="SLU186" s="7"/>
      <c r="SLV186" s="7"/>
      <c r="SLW186" s="7"/>
      <c r="SLX186" s="7"/>
      <c r="SLY186" s="7"/>
      <c r="SLZ186" s="7"/>
      <c r="SMA186" s="7"/>
      <c r="SMB186" s="7"/>
      <c r="SMC186" s="7"/>
      <c r="SMD186" s="7"/>
      <c r="SME186" s="7"/>
      <c r="SMF186" s="7"/>
      <c r="SMG186" s="7"/>
      <c r="SMH186" s="7"/>
      <c r="SMI186" s="7"/>
      <c r="SMJ186" s="7"/>
      <c r="SMK186" s="7"/>
      <c r="SML186" s="7"/>
      <c r="SMM186" s="7"/>
      <c r="SMN186" s="7"/>
      <c r="SMO186" s="7"/>
      <c r="SMP186" s="7"/>
      <c r="SMQ186" s="7"/>
      <c r="SMR186" s="7"/>
      <c r="SMS186" s="7"/>
      <c r="SMT186" s="7"/>
      <c r="SMU186" s="7"/>
      <c r="SMV186" s="7"/>
      <c r="SMW186" s="7"/>
      <c r="SMX186" s="7"/>
      <c r="SMY186" s="7"/>
      <c r="SMZ186" s="7"/>
      <c r="SNA186" s="7"/>
      <c r="SNB186" s="7"/>
      <c r="SNC186" s="7"/>
      <c r="SND186" s="7"/>
      <c r="SNE186" s="7"/>
      <c r="SNF186" s="7"/>
      <c r="SNG186" s="7"/>
      <c r="SNH186" s="7"/>
      <c r="SNI186" s="7"/>
      <c r="SNJ186" s="7"/>
      <c r="SNK186" s="7"/>
      <c r="SNL186" s="7"/>
      <c r="SNM186" s="7"/>
      <c r="SNN186" s="7"/>
      <c r="SNO186" s="7"/>
      <c r="SNP186" s="7"/>
      <c r="SNQ186" s="7"/>
      <c r="SNR186" s="7"/>
      <c r="SNS186" s="7"/>
      <c r="SNT186" s="7"/>
      <c r="SNU186" s="7"/>
      <c r="SNV186" s="7"/>
      <c r="SNW186" s="7"/>
      <c r="SNX186" s="7"/>
      <c r="SNY186" s="7"/>
      <c r="SNZ186" s="7"/>
      <c r="SOA186" s="7"/>
      <c r="SOB186" s="7"/>
      <c r="SOC186" s="7"/>
      <c r="SOD186" s="7"/>
      <c r="SOE186" s="7"/>
      <c r="SOF186" s="7"/>
      <c r="SOG186" s="7"/>
      <c r="SOH186" s="7"/>
      <c r="SOI186" s="7"/>
      <c r="SOJ186" s="7"/>
      <c r="SOK186" s="7"/>
      <c r="SOL186" s="7"/>
      <c r="SOM186" s="7"/>
      <c r="SON186" s="7"/>
      <c r="SOO186" s="7"/>
      <c r="SOP186" s="7"/>
      <c r="SOQ186" s="7"/>
      <c r="SOR186" s="7"/>
      <c r="SOS186" s="7"/>
      <c r="SOT186" s="7"/>
      <c r="SOU186" s="7"/>
      <c r="SOV186" s="7"/>
      <c r="SOW186" s="7"/>
      <c r="SOX186" s="7"/>
      <c r="SOY186" s="7"/>
      <c r="SOZ186" s="7"/>
      <c r="SPA186" s="7"/>
      <c r="SPB186" s="7"/>
      <c r="SPC186" s="7"/>
      <c r="SPD186" s="7"/>
      <c r="SPE186" s="7"/>
      <c r="SPF186" s="7"/>
      <c r="SPG186" s="7"/>
      <c r="SPH186" s="7"/>
      <c r="SPI186" s="7"/>
      <c r="SPJ186" s="7"/>
      <c r="SPK186" s="7"/>
      <c r="SPL186" s="7"/>
      <c r="SPM186" s="7"/>
      <c r="SPN186" s="7"/>
      <c r="SPO186" s="7"/>
      <c r="SPP186" s="7"/>
      <c r="SPQ186" s="7"/>
      <c r="SPR186" s="7"/>
      <c r="SPS186" s="7"/>
      <c r="SPT186" s="7"/>
      <c r="SPU186" s="7"/>
      <c r="SPV186" s="7"/>
      <c r="SPW186" s="7"/>
      <c r="SPX186" s="7"/>
      <c r="SPY186" s="7"/>
      <c r="SPZ186" s="7"/>
      <c r="SQA186" s="7"/>
      <c r="SQB186" s="7"/>
      <c r="SQC186" s="7"/>
      <c r="SQD186" s="7"/>
      <c r="SQE186" s="7"/>
      <c r="SQF186" s="7"/>
      <c r="SQG186" s="7"/>
      <c r="SQH186" s="7"/>
      <c r="SQI186" s="7"/>
      <c r="SQJ186" s="7"/>
      <c r="SQK186" s="7"/>
      <c r="SQL186" s="7"/>
      <c r="SQM186" s="7"/>
      <c r="SQN186" s="7"/>
      <c r="SQO186" s="7"/>
      <c r="SQP186" s="7"/>
      <c r="SQQ186" s="7"/>
      <c r="SQR186" s="7"/>
      <c r="SQS186" s="7"/>
      <c r="SQT186" s="7"/>
      <c r="SQU186" s="7"/>
      <c r="SQV186" s="7"/>
      <c r="SQW186" s="7"/>
      <c r="SQX186" s="7"/>
      <c r="SQY186" s="7"/>
      <c r="SQZ186" s="7"/>
      <c r="SRA186" s="7"/>
      <c r="SRB186" s="7"/>
      <c r="SRC186" s="7"/>
      <c r="SRD186" s="7"/>
      <c r="SRE186" s="7"/>
      <c r="SRF186" s="7"/>
      <c r="SRG186" s="7"/>
      <c r="SRH186" s="7"/>
      <c r="SRI186" s="7"/>
      <c r="SRJ186" s="7"/>
      <c r="SRK186" s="7"/>
      <c r="SRL186" s="7"/>
      <c r="SRM186" s="7"/>
      <c r="SRN186" s="7"/>
      <c r="SRO186" s="7"/>
      <c r="SRP186" s="7"/>
      <c r="SRQ186" s="7"/>
      <c r="SRR186" s="7"/>
      <c r="SRS186" s="7"/>
      <c r="SRT186" s="7"/>
      <c r="SRU186" s="7"/>
      <c r="SRV186" s="7"/>
      <c r="SRW186" s="7"/>
      <c r="SRX186" s="7"/>
      <c r="SRY186" s="7"/>
      <c r="SRZ186" s="7"/>
      <c r="SSA186" s="7"/>
      <c r="SSB186" s="7"/>
      <c r="SSC186" s="7"/>
      <c r="SSD186" s="7"/>
      <c r="SSE186" s="7"/>
      <c r="SSF186" s="7"/>
      <c r="SSG186" s="7"/>
      <c r="SSH186" s="7"/>
      <c r="SSI186" s="7"/>
      <c r="SSJ186" s="7"/>
      <c r="SSK186" s="7"/>
      <c r="SSL186" s="7"/>
      <c r="SSM186" s="7"/>
      <c r="SSN186" s="7"/>
      <c r="SSO186" s="7"/>
      <c r="SSP186" s="7"/>
      <c r="SSQ186" s="7"/>
      <c r="SSR186" s="7"/>
      <c r="SSS186" s="7"/>
      <c r="SST186" s="7"/>
      <c r="SSU186" s="7"/>
      <c r="SSV186" s="7"/>
      <c r="SSW186" s="7"/>
      <c r="SSX186" s="7"/>
      <c r="SSY186" s="7"/>
      <c r="SSZ186" s="7"/>
      <c r="STA186" s="7"/>
      <c r="STB186" s="7"/>
      <c r="STC186" s="7"/>
      <c r="STD186" s="7"/>
      <c r="STE186" s="7"/>
      <c r="STF186" s="7"/>
      <c r="STG186" s="7"/>
      <c r="STH186" s="7"/>
      <c r="STI186" s="7"/>
      <c r="STJ186" s="7"/>
      <c r="STK186" s="7"/>
      <c r="STL186" s="7"/>
      <c r="STM186" s="7"/>
      <c r="STN186" s="7"/>
      <c r="STO186" s="7"/>
      <c r="STP186" s="7"/>
      <c r="STQ186" s="7"/>
      <c r="STR186" s="7"/>
      <c r="STS186" s="7"/>
      <c r="STT186" s="7"/>
      <c r="STU186" s="7"/>
      <c r="STV186" s="7"/>
      <c r="STW186" s="7"/>
      <c r="STX186" s="7"/>
      <c r="STY186" s="7"/>
      <c r="STZ186" s="7"/>
      <c r="SUA186" s="7"/>
      <c r="SUB186" s="7"/>
      <c r="SUC186" s="7"/>
      <c r="SUD186" s="7"/>
      <c r="SUE186" s="7"/>
      <c r="SUF186" s="7"/>
      <c r="SUG186" s="7"/>
      <c r="SUH186" s="7"/>
      <c r="SUI186" s="7"/>
      <c r="SUJ186" s="7"/>
      <c r="SUK186" s="7"/>
      <c r="SUL186" s="7"/>
      <c r="SUM186" s="7"/>
      <c r="SUN186" s="7"/>
      <c r="SUO186" s="7"/>
      <c r="SUP186" s="7"/>
      <c r="SUQ186" s="7"/>
      <c r="SUR186" s="7"/>
      <c r="SUS186" s="7"/>
      <c r="SUT186" s="7"/>
      <c r="SUU186" s="7"/>
      <c r="SUV186" s="7"/>
      <c r="SUW186" s="7"/>
      <c r="SUX186" s="7"/>
      <c r="SUY186" s="7"/>
      <c r="SUZ186" s="7"/>
      <c r="SVA186" s="7"/>
      <c r="SVB186" s="7"/>
      <c r="SVC186" s="7"/>
      <c r="SVD186" s="7"/>
      <c r="SVE186" s="7"/>
      <c r="SVF186" s="7"/>
      <c r="SVG186" s="7"/>
      <c r="SVH186" s="7"/>
      <c r="SVI186" s="7"/>
      <c r="SVJ186" s="7"/>
      <c r="SVK186" s="7"/>
      <c r="SVL186" s="7"/>
      <c r="SVM186" s="7"/>
      <c r="SVN186" s="7"/>
      <c r="SVO186" s="7"/>
      <c r="SVP186" s="7"/>
      <c r="SVQ186" s="7"/>
      <c r="SVR186" s="7"/>
      <c r="SVS186" s="7"/>
      <c r="SVT186" s="7"/>
      <c r="SVU186" s="7"/>
      <c r="SVV186" s="7"/>
      <c r="SVW186" s="7"/>
      <c r="SVX186" s="7"/>
      <c r="SVY186" s="7"/>
      <c r="SVZ186" s="7"/>
      <c r="SWA186" s="7"/>
      <c r="SWB186" s="7"/>
      <c r="SWC186" s="7"/>
      <c r="SWD186" s="7"/>
      <c r="SWE186" s="7"/>
      <c r="SWF186" s="7"/>
      <c r="SWG186" s="7"/>
      <c r="SWH186" s="7"/>
      <c r="SWI186" s="7"/>
      <c r="SWJ186" s="7"/>
      <c r="SWK186" s="7"/>
      <c r="SWL186" s="7"/>
      <c r="SWM186" s="7"/>
      <c r="SWN186" s="7"/>
      <c r="SWO186" s="7"/>
      <c r="SWP186" s="7"/>
      <c r="SWQ186" s="7"/>
      <c r="SWR186" s="7"/>
      <c r="SWS186" s="7"/>
      <c r="SWT186" s="7"/>
      <c r="SWU186" s="7"/>
      <c r="SWV186" s="7"/>
      <c r="SWW186" s="7"/>
      <c r="SWX186" s="7"/>
      <c r="SWY186" s="7"/>
      <c r="SWZ186" s="7"/>
      <c r="SXA186" s="7"/>
      <c r="SXB186" s="7"/>
      <c r="SXC186" s="7"/>
      <c r="SXD186" s="7"/>
      <c r="SXE186" s="7"/>
      <c r="SXF186" s="7"/>
      <c r="SXG186" s="7"/>
      <c r="SXH186" s="7"/>
      <c r="SXI186" s="7"/>
      <c r="SXJ186" s="7"/>
      <c r="SXK186" s="7"/>
      <c r="SXL186" s="7"/>
      <c r="SXM186" s="7"/>
      <c r="SXN186" s="7"/>
      <c r="SXO186" s="7"/>
      <c r="SXP186" s="7"/>
      <c r="SXQ186" s="7"/>
      <c r="SXR186" s="7"/>
      <c r="SXS186" s="7"/>
      <c r="SXT186" s="7"/>
      <c r="SXU186" s="7"/>
      <c r="SXV186" s="7"/>
      <c r="SXW186" s="7"/>
      <c r="SXX186" s="7"/>
      <c r="SXY186" s="7"/>
      <c r="SXZ186" s="7"/>
      <c r="SYA186" s="7"/>
      <c r="SYB186" s="7"/>
      <c r="SYC186" s="7"/>
      <c r="SYD186" s="7"/>
      <c r="SYE186" s="7"/>
      <c r="SYF186" s="7"/>
      <c r="SYG186" s="7"/>
      <c r="SYH186" s="7"/>
      <c r="SYI186" s="7"/>
      <c r="SYJ186" s="7"/>
      <c r="SYK186" s="7"/>
      <c r="SYL186" s="7"/>
      <c r="SYM186" s="7"/>
      <c r="SYN186" s="7"/>
      <c r="SYO186" s="7"/>
      <c r="SYP186" s="7"/>
      <c r="SYQ186" s="7"/>
      <c r="SYR186" s="7"/>
      <c r="SYS186" s="7"/>
      <c r="SYT186" s="7"/>
      <c r="SYU186" s="7"/>
      <c r="SYV186" s="7"/>
      <c r="SYW186" s="7"/>
      <c r="SYX186" s="7"/>
      <c r="SYY186" s="7"/>
      <c r="SYZ186" s="7"/>
      <c r="SZA186" s="7"/>
      <c r="SZB186" s="7"/>
      <c r="SZC186" s="7"/>
      <c r="SZD186" s="7"/>
      <c r="SZE186" s="7"/>
      <c r="SZF186" s="7"/>
      <c r="SZG186" s="7"/>
      <c r="SZH186" s="7"/>
      <c r="SZI186" s="7"/>
      <c r="SZJ186" s="7"/>
      <c r="SZK186" s="7"/>
      <c r="SZL186" s="7"/>
      <c r="SZM186" s="7"/>
      <c r="SZN186" s="7"/>
      <c r="SZO186" s="7"/>
      <c r="SZP186" s="7"/>
      <c r="SZQ186" s="7"/>
      <c r="SZR186" s="7"/>
      <c r="SZS186" s="7"/>
      <c r="SZT186" s="7"/>
      <c r="SZU186" s="7"/>
      <c r="SZV186" s="7"/>
      <c r="SZW186" s="7"/>
      <c r="SZX186" s="7"/>
      <c r="SZY186" s="7"/>
      <c r="SZZ186" s="7"/>
      <c r="TAA186" s="7"/>
      <c r="TAB186" s="7"/>
      <c r="TAC186" s="7"/>
      <c r="TAD186" s="7"/>
      <c r="TAE186" s="7"/>
      <c r="TAF186" s="7"/>
      <c r="TAG186" s="7"/>
      <c r="TAH186" s="7"/>
      <c r="TAI186" s="7"/>
      <c r="TAJ186" s="7"/>
      <c r="TAK186" s="7"/>
      <c r="TAL186" s="7"/>
      <c r="TAM186" s="7"/>
      <c r="TAN186" s="7"/>
      <c r="TAO186" s="7"/>
      <c r="TAP186" s="7"/>
      <c r="TAQ186" s="7"/>
      <c r="TAR186" s="7"/>
      <c r="TAS186" s="7"/>
      <c r="TAT186" s="7"/>
      <c r="TAU186" s="7"/>
      <c r="TAV186" s="7"/>
      <c r="TAW186" s="7"/>
      <c r="TAX186" s="7"/>
      <c r="TAY186" s="7"/>
      <c r="TAZ186" s="7"/>
      <c r="TBA186" s="7"/>
      <c r="TBB186" s="7"/>
      <c r="TBC186" s="7"/>
      <c r="TBD186" s="7"/>
      <c r="TBE186" s="7"/>
      <c r="TBF186" s="7"/>
      <c r="TBG186" s="7"/>
      <c r="TBH186" s="7"/>
      <c r="TBI186" s="7"/>
      <c r="TBJ186" s="7"/>
      <c r="TBK186" s="7"/>
      <c r="TBL186" s="7"/>
      <c r="TBM186" s="7"/>
      <c r="TBN186" s="7"/>
      <c r="TBO186" s="7"/>
      <c r="TBP186" s="7"/>
      <c r="TBQ186" s="7"/>
      <c r="TBR186" s="7"/>
      <c r="TBS186" s="7"/>
      <c r="TBT186" s="7"/>
      <c r="TBU186" s="7"/>
      <c r="TBV186" s="7"/>
      <c r="TBW186" s="7"/>
      <c r="TBX186" s="7"/>
      <c r="TBY186" s="7"/>
      <c r="TBZ186" s="7"/>
      <c r="TCA186" s="7"/>
      <c r="TCB186" s="7"/>
      <c r="TCC186" s="7"/>
      <c r="TCD186" s="7"/>
      <c r="TCE186" s="7"/>
      <c r="TCF186" s="7"/>
      <c r="TCG186" s="7"/>
      <c r="TCH186" s="7"/>
      <c r="TCI186" s="7"/>
      <c r="TCJ186" s="7"/>
      <c r="TCK186" s="7"/>
      <c r="TCL186" s="7"/>
      <c r="TCM186" s="7"/>
      <c r="TCN186" s="7"/>
      <c r="TCO186" s="7"/>
      <c r="TCP186" s="7"/>
      <c r="TCQ186" s="7"/>
      <c r="TCR186" s="7"/>
      <c r="TCS186" s="7"/>
      <c r="TCT186" s="7"/>
      <c r="TCU186" s="7"/>
      <c r="TCV186" s="7"/>
      <c r="TCW186" s="7"/>
      <c r="TCX186" s="7"/>
      <c r="TCY186" s="7"/>
      <c r="TCZ186" s="7"/>
      <c r="TDA186" s="7"/>
      <c r="TDB186" s="7"/>
      <c r="TDC186" s="7"/>
      <c r="TDD186" s="7"/>
      <c r="TDE186" s="7"/>
      <c r="TDF186" s="7"/>
      <c r="TDG186" s="7"/>
      <c r="TDH186" s="7"/>
      <c r="TDI186" s="7"/>
      <c r="TDJ186" s="7"/>
      <c r="TDK186" s="7"/>
      <c r="TDL186" s="7"/>
      <c r="TDM186" s="7"/>
      <c r="TDN186" s="7"/>
      <c r="TDO186" s="7"/>
      <c r="TDP186" s="7"/>
      <c r="TDQ186" s="7"/>
      <c r="TDR186" s="7"/>
      <c r="TDS186" s="7"/>
      <c r="TDT186" s="7"/>
      <c r="TDU186" s="7"/>
      <c r="TDV186" s="7"/>
      <c r="TDW186" s="7"/>
      <c r="TDX186" s="7"/>
      <c r="TDY186" s="7"/>
      <c r="TDZ186" s="7"/>
      <c r="TEA186" s="7"/>
      <c r="TEB186" s="7"/>
      <c r="TEC186" s="7"/>
      <c r="TED186" s="7"/>
      <c r="TEE186" s="7"/>
      <c r="TEF186" s="7"/>
      <c r="TEG186" s="7"/>
      <c r="TEH186" s="7"/>
      <c r="TEI186" s="7"/>
      <c r="TEJ186" s="7"/>
      <c r="TEK186" s="7"/>
      <c r="TEL186" s="7"/>
      <c r="TEM186" s="7"/>
      <c r="TEN186" s="7"/>
      <c r="TEO186" s="7"/>
      <c r="TEP186" s="7"/>
      <c r="TEQ186" s="7"/>
      <c r="TER186" s="7"/>
      <c r="TES186" s="7"/>
      <c r="TET186" s="7"/>
      <c r="TEU186" s="7"/>
      <c r="TEV186" s="7"/>
      <c r="TEW186" s="7"/>
      <c r="TEX186" s="7"/>
      <c r="TEY186" s="7"/>
      <c r="TEZ186" s="7"/>
      <c r="TFA186" s="7"/>
      <c r="TFB186" s="7"/>
      <c r="TFC186" s="7"/>
      <c r="TFD186" s="7"/>
      <c r="TFE186" s="7"/>
      <c r="TFF186" s="7"/>
      <c r="TFG186" s="7"/>
      <c r="TFH186" s="7"/>
      <c r="TFI186" s="7"/>
      <c r="TFJ186" s="7"/>
      <c r="TFK186" s="7"/>
      <c r="TFL186" s="7"/>
      <c r="TFM186" s="7"/>
      <c r="TFN186" s="7"/>
      <c r="TFO186" s="7"/>
      <c r="TFP186" s="7"/>
      <c r="TFQ186" s="7"/>
      <c r="TFR186" s="7"/>
      <c r="TFS186" s="7"/>
      <c r="TFT186" s="7"/>
      <c r="TFU186" s="7"/>
      <c r="TFV186" s="7"/>
      <c r="TFW186" s="7"/>
      <c r="TFX186" s="7"/>
      <c r="TFY186" s="7"/>
      <c r="TFZ186" s="7"/>
      <c r="TGA186" s="7"/>
      <c r="TGB186" s="7"/>
      <c r="TGC186" s="7"/>
      <c r="TGD186" s="7"/>
      <c r="TGE186" s="7"/>
      <c r="TGF186" s="7"/>
      <c r="TGG186" s="7"/>
      <c r="TGH186" s="7"/>
      <c r="TGI186" s="7"/>
      <c r="TGJ186" s="7"/>
      <c r="TGK186" s="7"/>
      <c r="TGL186" s="7"/>
      <c r="TGM186" s="7"/>
      <c r="TGN186" s="7"/>
      <c r="TGO186" s="7"/>
      <c r="TGP186" s="7"/>
      <c r="TGQ186" s="7"/>
      <c r="TGR186" s="7"/>
      <c r="TGS186" s="7"/>
      <c r="TGT186" s="7"/>
      <c r="TGU186" s="7"/>
      <c r="TGV186" s="7"/>
      <c r="TGW186" s="7"/>
      <c r="TGX186" s="7"/>
      <c r="TGY186" s="7"/>
      <c r="TGZ186" s="7"/>
      <c r="THA186" s="7"/>
      <c r="THB186" s="7"/>
      <c r="THC186" s="7"/>
      <c r="THD186" s="7"/>
      <c r="THE186" s="7"/>
      <c r="THF186" s="7"/>
      <c r="THG186" s="7"/>
      <c r="THH186" s="7"/>
      <c r="THI186" s="7"/>
      <c r="THJ186" s="7"/>
      <c r="THK186" s="7"/>
      <c r="THL186" s="7"/>
      <c r="THM186" s="7"/>
      <c r="THN186" s="7"/>
      <c r="THO186" s="7"/>
      <c r="THP186" s="7"/>
      <c r="THQ186" s="7"/>
      <c r="THR186" s="7"/>
      <c r="THS186" s="7"/>
      <c r="THT186" s="7"/>
      <c r="THU186" s="7"/>
      <c r="THV186" s="7"/>
      <c r="THW186" s="7"/>
      <c r="THX186" s="7"/>
      <c r="THY186" s="7"/>
      <c r="THZ186" s="7"/>
      <c r="TIA186" s="7"/>
      <c r="TIB186" s="7"/>
      <c r="TIC186" s="7"/>
      <c r="TID186" s="7"/>
      <c r="TIE186" s="7"/>
      <c r="TIF186" s="7"/>
      <c r="TIG186" s="7"/>
      <c r="TIH186" s="7"/>
      <c r="TII186" s="7"/>
      <c r="TIJ186" s="7"/>
      <c r="TIK186" s="7"/>
      <c r="TIL186" s="7"/>
      <c r="TIM186" s="7"/>
      <c r="TIN186" s="7"/>
      <c r="TIO186" s="7"/>
      <c r="TIP186" s="7"/>
      <c r="TIQ186" s="7"/>
      <c r="TIR186" s="7"/>
      <c r="TIS186" s="7"/>
      <c r="TIT186" s="7"/>
      <c r="TIU186" s="7"/>
      <c r="TIV186" s="7"/>
      <c r="TIW186" s="7"/>
      <c r="TIX186" s="7"/>
      <c r="TIY186" s="7"/>
      <c r="TIZ186" s="7"/>
      <c r="TJA186" s="7"/>
      <c r="TJB186" s="7"/>
      <c r="TJC186" s="7"/>
      <c r="TJD186" s="7"/>
      <c r="TJE186" s="7"/>
      <c r="TJF186" s="7"/>
      <c r="TJG186" s="7"/>
      <c r="TJH186" s="7"/>
      <c r="TJI186" s="7"/>
      <c r="TJJ186" s="7"/>
      <c r="TJK186" s="7"/>
      <c r="TJL186" s="7"/>
      <c r="TJM186" s="7"/>
      <c r="TJN186" s="7"/>
      <c r="TJO186" s="7"/>
      <c r="TJP186" s="7"/>
      <c r="TJQ186" s="7"/>
      <c r="TJR186" s="7"/>
      <c r="TJS186" s="7"/>
      <c r="TJT186" s="7"/>
      <c r="TJU186" s="7"/>
      <c r="TJV186" s="7"/>
      <c r="TJW186" s="7"/>
      <c r="TJX186" s="7"/>
      <c r="TJY186" s="7"/>
      <c r="TJZ186" s="7"/>
      <c r="TKA186" s="7"/>
      <c r="TKB186" s="7"/>
      <c r="TKC186" s="7"/>
      <c r="TKD186" s="7"/>
      <c r="TKE186" s="7"/>
      <c r="TKF186" s="7"/>
      <c r="TKG186" s="7"/>
      <c r="TKH186" s="7"/>
      <c r="TKI186" s="7"/>
      <c r="TKJ186" s="7"/>
      <c r="TKK186" s="7"/>
      <c r="TKL186" s="7"/>
      <c r="TKM186" s="7"/>
      <c r="TKN186" s="7"/>
      <c r="TKO186" s="7"/>
      <c r="TKP186" s="7"/>
      <c r="TKQ186" s="7"/>
      <c r="TKR186" s="7"/>
      <c r="TKS186" s="7"/>
      <c r="TKT186" s="7"/>
      <c r="TKU186" s="7"/>
      <c r="TKV186" s="7"/>
      <c r="TKW186" s="7"/>
      <c r="TKX186" s="7"/>
      <c r="TKY186" s="7"/>
      <c r="TKZ186" s="7"/>
      <c r="TLA186" s="7"/>
      <c r="TLB186" s="7"/>
      <c r="TLC186" s="7"/>
      <c r="TLD186" s="7"/>
      <c r="TLE186" s="7"/>
      <c r="TLF186" s="7"/>
      <c r="TLG186" s="7"/>
      <c r="TLH186" s="7"/>
      <c r="TLI186" s="7"/>
      <c r="TLJ186" s="7"/>
      <c r="TLK186" s="7"/>
      <c r="TLL186" s="7"/>
      <c r="TLM186" s="7"/>
      <c r="TLN186" s="7"/>
      <c r="TLO186" s="7"/>
      <c r="TLP186" s="7"/>
      <c r="TLQ186" s="7"/>
      <c r="TLR186" s="7"/>
      <c r="TLS186" s="7"/>
      <c r="TLT186" s="7"/>
      <c r="TLU186" s="7"/>
      <c r="TLV186" s="7"/>
      <c r="TLW186" s="7"/>
      <c r="TLX186" s="7"/>
      <c r="TLY186" s="7"/>
      <c r="TLZ186" s="7"/>
      <c r="TMA186" s="7"/>
      <c r="TMB186" s="7"/>
      <c r="TMC186" s="7"/>
      <c r="TMD186" s="7"/>
      <c r="TME186" s="7"/>
      <c r="TMF186" s="7"/>
      <c r="TMG186" s="7"/>
      <c r="TMH186" s="7"/>
      <c r="TMI186" s="7"/>
      <c r="TMJ186" s="7"/>
      <c r="TMK186" s="7"/>
      <c r="TML186" s="7"/>
      <c r="TMM186" s="7"/>
      <c r="TMN186" s="7"/>
      <c r="TMO186" s="7"/>
      <c r="TMP186" s="7"/>
      <c r="TMQ186" s="7"/>
      <c r="TMR186" s="7"/>
      <c r="TMS186" s="7"/>
      <c r="TMT186" s="7"/>
      <c r="TMU186" s="7"/>
      <c r="TMV186" s="7"/>
      <c r="TMW186" s="7"/>
      <c r="TMX186" s="7"/>
      <c r="TMY186" s="7"/>
      <c r="TMZ186" s="7"/>
      <c r="TNA186" s="7"/>
      <c r="TNB186" s="7"/>
      <c r="TNC186" s="7"/>
      <c r="TND186" s="7"/>
      <c r="TNE186" s="7"/>
      <c r="TNF186" s="7"/>
      <c r="TNG186" s="7"/>
      <c r="TNH186" s="7"/>
      <c r="TNI186" s="7"/>
      <c r="TNJ186" s="7"/>
      <c r="TNK186" s="7"/>
      <c r="TNL186" s="7"/>
      <c r="TNM186" s="7"/>
      <c r="TNN186" s="7"/>
      <c r="TNO186" s="7"/>
      <c r="TNP186" s="7"/>
      <c r="TNQ186" s="7"/>
      <c r="TNR186" s="7"/>
      <c r="TNS186" s="7"/>
      <c r="TNT186" s="7"/>
      <c r="TNU186" s="7"/>
      <c r="TNV186" s="7"/>
      <c r="TNW186" s="7"/>
      <c r="TNX186" s="7"/>
      <c r="TNY186" s="7"/>
      <c r="TNZ186" s="7"/>
      <c r="TOA186" s="7"/>
      <c r="TOB186" s="7"/>
      <c r="TOC186" s="7"/>
      <c r="TOD186" s="7"/>
      <c r="TOE186" s="7"/>
      <c r="TOF186" s="7"/>
      <c r="TOG186" s="7"/>
      <c r="TOH186" s="7"/>
      <c r="TOI186" s="7"/>
      <c r="TOJ186" s="7"/>
      <c r="TOK186" s="7"/>
      <c r="TOL186" s="7"/>
      <c r="TOM186" s="7"/>
      <c r="TON186" s="7"/>
      <c r="TOO186" s="7"/>
      <c r="TOP186" s="7"/>
      <c r="TOQ186" s="7"/>
      <c r="TOR186" s="7"/>
      <c r="TOS186" s="7"/>
      <c r="TOT186" s="7"/>
      <c r="TOU186" s="7"/>
      <c r="TOV186" s="7"/>
      <c r="TOW186" s="7"/>
      <c r="TOX186" s="7"/>
      <c r="TOY186" s="7"/>
      <c r="TOZ186" s="7"/>
      <c r="TPA186" s="7"/>
      <c r="TPB186" s="7"/>
      <c r="TPC186" s="7"/>
      <c r="TPD186" s="7"/>
      <c r="TPE186" s="7"/>
      <c r="TPF186" s="7"/>
      <c r="TPG186" s="7"/>
      <c r="TPH186" s="7"/>
      <c r="TPI186" s="7"/>
      <c r="TPJ186" s="7"/>
      <c r="TPK186" s="7"/>
      <c r="TPL186" s="7"/>
      <c r="TPM186" s="7"/>
      <c r="TPN186" s="7"/>
      <c r="TPO186" s="7"/>
      <c r="TPP186" s="7"/>
      <c r="TPQ186" s="7"/>
      <c r="TPR186" s="7"/>
      <c r="TPS186" s="7"/>
      <c r="TPT186" s="7"/>
      <c r="TPU186" s="7"/>
      <c r="TPV186" s="7"/>
      <c r="TPW186" s="7"/>
      <c r="TPX186" s="7"/>
      <c r="TPY186" s="7"/>
      <c r="TPZ186" s="7"/>
      <c r="TQA186" s="7"/>
      <c r="TQB186" s="7"/>
      <c r="TQC186" s="7"/>
      <c r="TQD186" s="7"/>
      <c r="TQE186" s="7"/>
      <c r="TQF186" s="7"/>
      <c r="TQG186" s="7"/>
      <c r="TQH186" s="7"/>
      <c r="TQI186" s="7"/>
      <c r="TQJ186" s="7"/>
      <c r="TQK186" s="7"/>
      <c r="TQL186" s="7"/>
      <c r="TQM186" s="7"/>
      <c r="TQN186" s="7"/>
      <c r="TQO186" s="7"/>
      <c r="TQP186" s="7"/>
      <c r="TQQ186" s="7"/>
      <c r="TQR186" s="7"/>
      <c r="TQS186" s="7"/>
      <c r="TQT186" s="7"/>
      <c r="TQU186" s="7"/>
      <c r="TQV186" s="7"/>
      <c r="TQW186" s="7"/>
      <c r="TQX186" s="7"/>
      <c r="TQY186" s="7"/>
      <c r="TQZ186" s="7"/>
      <c r="TRA186" s="7"/>
      <c r="TRB186" s="7"/>
      <c r="TRC186" s="7"/>
      <c r="TRD186" s="7"/>
      <c r="TRE186" s="7"/>
      <c r="TRF186" s="7"/>
      <c r="TRG186" s="7"/>
      <c r="TRH186" s="7"/>
      <c r="TRI186" s="7"/>
      <c r="TRJ186" s="7"/>
      <c r="TRK186" s="7"/>
      <c r="TRL186" s="7"/>
      <c r="TRM186" s="7"/>
      <c r="TRN186" s="7"/>
      <c r="TRO186" s="7"/>
      <c r="TRP186" s="7"/>
      <c r="TRQ186" s="7"/>
      <c r="TRR186" s="7"/>
      <c r="TRS186" s="7"/>
      <c r="TRT186" s="7"/>
      <c r="TRU186" s="7"/>
      <c r="TRV186" s="7"/>
      <c r="TRW186" s="7"/>
      <c r="TRX186" s="7"/>
      <c r="TRY186" s="7"/>
      <c r="TRZ186" s="7"/>
      <c r="TSA186" s="7"/>
      <c r="TSB186" s="7"/>
      <c r="TSC186" s="7"/>
      <c r="TSD186" s="7"/>
      <c r="TSE186" s="7"/>
      <c r="TSF186" s="7"/>
      <c r="TSG186" s="7"/>
      <c r="TSH186" s="7"/>
      <c r="TSI186" s="7"/>
      <c r="TSJ186" s="7"/>
      <c r="TSK186" s="7"/>
      <c r="TSL186" s="7"/>
      <c r="TSM186" s="7"/>
      <c r="TSN186" s="7"/>
      <c r="TSO186" s="7"/>
      <c r="TSP186" s="7"/>
      <c r="TSQ186" s="7"/>
      <c r="TSR186" s="7"/>
      <c r="TSS186" s="7"/>
      <c r="TST186" s="7"/>
      <c r="TSU186" s="7"/>
      <c r="TSV186" s="7"/>
      <c r="TSW186" s="7"/>
      <c r="TSX186" s="7"/>
      <c r="TSY186" s="7"/>
      <c r="TSZ186" s="7"/>
      <c r="TTA186" s="7"/>
      <c r="TTB186" s="7"/>
      <c r="TTC186" s="7"/>
      <c r="TTD186" s="7"/>
      <c r="TTE186" s="7"/>
      <c r="TTF186" s="7"/>
      <c r="TTG186" s="7"/>
      <c r="TTH186" s="7"/>
      <c r="TTI186" s="7"/>
      <c r="TTJ186" s="7"/>
      <c r="TTK186" s="7"/>
      <c r="TTL186" s="7"/>
      <c r="TTM186" s="7"/>
      <c r="TTN186" s="7"/>
      <c r="TTO186" s="7"/>
      <c r="TTP186" s="7"/>
      <c r="TTQ186" s="7"/>
      <c r="TTR186" s="7"/>
      <c r="TTS186" s="7"/>
      <c r="TTT186" s="7"/>
      <c r="TTU186" s="7"/>
      <c r="TTV186" s="7"/>
      <c r="TTW186" s="7"/>
      <c r="TTX186" s="7"/>
      <c r="TTY186" s="7"/>
      <c r="TTZ186" s="7"/>
      <c r="TUA186" s="7"/>
      <c r="TUB186" s="7"/>
      <c r="TUC186" s="7"/>
      <c r="TUD186" s="7"/>
      <c r="TUE186" s="7"/>
      <c r="TUF186" s="7"/>
      <c r="TUG186" s="7"/>
      <c r="TUH186" s="7"/>
      <c r="TUI186" s="7"/>
      <c r="TUJ186" s="7"/>
      <c r="TUK186" s="7"/>
      <c r="TUL186" s="7"/>
      <c r="TUM186" s="7"/>
      <c r="TUN186" s="7"/>
      <c r="TUO186" s="7"/>
      <c r="TUP186" s="7"/>
      <c r="TUQ186" s="7"/>
      <c r="TUR186" s="7"/>
      <c r="TUS186" s="7"/>
      <c r="TUT186" s="7"/>
      <c r="TUU186" s="7"/>
      <c r="TUV186" s="7"/>
      <c r="TUW186" s="7"/>
      <c r="TUX186" s="7"/>
      <c r="TUY186" s="7"/>
      <c r="TUZ186" s="7"/>
      <c r="TVA186" s="7"/>
      <c r="TVB186" s="7"/>
      <c r="TVC186" s="7"/>
      <c r="TVD186" s="7"/>
      <c r="TVE186" s="7"/>
      <c r="TVF186" s="7"/>
      <c r="TVG186" s="7"/>
      <c r="TVH186" s="7"/>
      <c r="TVI186" s="7"/>
      <c r="TVJ186" s="7"/>
      <c r="TVK186" s="7"/>
      <c r="TVL186" s="7"/>
      <c r="TVM186" s="7"/>
      <c r="TVN186" s="7"/>
      <c r="TVO186" s="7"/>
      <c r="TVP186" s="7"/>
      <c r="TVQ186" s="7"/>
      <c r="TVR186" s="7"/>
      <c r="TVS186" s="7"/>
      <c r="TVT186" s="7"/>
      <c r="TVU186" s="7"/>
      <c r="TVV186" s="7"/>
      <c r="TVW186" s="7"/>
      <c r="TVX186" s="7"/>
      <c r="TVY186" s="7"/>
      <c r="TVZ186" s="7"/>
      <c r="TWA186" s="7"/>
      <c r="TWB186" s="7"/>
      <c r="TWC186" s="7"/>
      <c r="TWD186" s="7"/>
      <c r="TWE186" s="7"/>
      <c r="TWF186" s="7"/>
      <c r="TWG186" s="7"/>
      <c r="TWH186" s="7"/>
      <c r="TWI186" s="7"/>
      <c r="TWJ186" s="7"/>
      <c r="TWK186" s="7"/>
      <c r="TWL186" s="7"/>
      <c r="TWM186" s="7"/>
      <c r="TWN186" s="7"/>
      <c r="TWO186" s="7"/>
      <c r="TWP186" s="7"/>
      <c r="TWQ186" s="7"/>
      <c r="TWR186" s="7"/>
      <c r="TWS186" s="7"/>
      <c r="TWT186" s="7"/>
      <c r="TWU186" s="7"/>
      <c r="TWV186" s="7"/>
      <c r="TWW186" s="7"/>
      <c r="TWX186" s="7"/>
      <c r="TWY186" s="7"/>
      <c r="TWZ186" s="7"/>
      <c r="TXA186" s="7"/>
      <c r="TXB186" s="7"/>
      <c r="TXC186" s="7"/>
      <c r="TXD186" s="7"/>
      <c r="TXE186" s="7"/>
      <c r="TXF186" s="7"/>
      <c r="TXG186" s="7"/>
      <c r="TXH186" s="7"/>
      <c r="TXI186" s="7"/>
      <c r="TXJ186" s="7"/>
      <c r="TXK186" s="7"/>
      <c r="TXL186" s="7"/>
      <c r="TXM186" s="7"/>
      <c r="TXN186" s="7"/>
      <c r="TXO186" s="7"/>
      <c r="TXP186" s="7"/>
      <c r="TXQ186" s="7"/>
      <c r="TXR186" s="7"/>
      <c r="TXS186" s="7"/>
      <c r="TXT186" s="7"/>
      <c r="TXU186" s="7"/>
      <c r="TXV186" s="7"/>
      <c r="TXW186" s="7"/>
      <c r="TXX186" s="7"/>
      <c r="TXY186" s="7"/>
      <c r="TXZ186" s="7"/>
      <c r="TYA186" s="7"/>
      <c r="TYB186" s="7"/>
      <c r="TYC186" s="7"/>
      <c r="TYD186" s="7"/>
      <c r="TYE186" s="7"/>
      <c r="TYF186" s="7"/>
      <c r="TYG186" s="7"/>
      <c r="TYH186" s="7"/>
      <c r="TYI186" s="7"/>
      <c r="TYJ186" s="7"/>
      <c r="TYK186" s="7"/>
      <c r="TYL186" s="7"/>
      <c r="TYM186" s="7"/>
      <c r="TYN186" s="7"/>
      <c r="TYO186" s="7"/>
      <c r="TYP186" s="7"/>
      <c r="TYQ186" s="7"/>
      <c r="TYR186" s="7"/>
      <c r="TYS186" s="7"/>
      <c r="TYT186" s="7"/>
      <c r="TYU186" s="7"/>
      <c r="TYV186" s="7"/>
      <c r="TYW186" s="7"/>
      <c r="TYX186" s="7"/>
      <c r="TYY186" s="7"/>
      <c r="TYZ186" s="7"/>
      <c r="TZA186" s="7"/>
      <c r="TZB186" s="7"/>
      <c r="TZC186" s="7"/>
      <c r="TZD186" s="7"/>
      <c r="TZE186" s="7"/>
      <c r="TZF186" s="7"/>
      <c r="TZG186" s="7"/>
      <c r="TZH186" s="7"/>
      <c r="TZI186" s="7"/>
      <c r="TZJ186" s="7"/>
      <c r="TZK186" s="7"/>
      <c r="TZL186" s="7"/>
      <c r="TZM186" s="7"/>
      <c r="TZN186" s="7"/>
      <c r="TZO186" s="7"/>
      <c r="TZP186" s="7"/>
      <c r="TZQ186" s="7"/>
      <c r="TZR186" s="7"/>
      <c r="TZS186" s="7"/>
      <c r="TZT186" s="7"/>
      <c r="TZU186" s="7"/>
      <c r="TZV186" s="7"/>
      <c r="TZW186" s="7"/>
      <c r="TZX186" s="7"/>
      <c r="TZY186" s="7"/>
      <c r="TZZ186" s="7"/>
      <c r="UAA186" s="7"/>
      <c r="UAB186" s="7"/>
      <c r="UAC186" s="7"/>
      <c r="UAD186" s="7"/>
      <c r="UAE186" s="7"/>
      <c r="UAF186" s="7"/>
      <c r="UAG186" s="7"/>
      <c r="UAH186" s="7"/>
      <c r="UAI186" s="7"/>
      <c r="UAJ186" s="7"/>
      <c r="UAK186" s="7"/>
      <c r="UAL186" s="7"/>
      <c r="UAM186" s="7"/>
      <c r="UAN186" s="7"/>
      <c r="UAO186" s="7"/>
      <c r="UAP186" s="7"/>
      <c r="UAQ186" s="7"/>
      <c r="UAR186" s="7"/>
      <c r="UAS186" s="7"/>
      <c r="UAT186" s="7"/>
      <c r="UAU186" s="7"/>
      <c r="UAV186" s="7"/>
      <c r="UAW186" s="7"/>
      <c r="UAX186" s="7"/>
      <c r="UAY186" s="7"/>
      <c r="UAZ186" s="7"/>
      <c r="UBA186" s="7"/>
      <c r="UBB186" s="7"/>
      <c r="UBC186" s="7"/>
      <c r="UBD186" s="7"/>
      <c r="UBE186" s="7"/>
      <c r="UBF186" s="7"/>
      <c r="UBG186" s="7"/>
      <c r="UBH186" s="7"/>
      <c r="UBI186" s="7"/>
      <c r="UBJ186" s="7"/>
      <c r="UBK186" s="7"/>
      <c r="UBL186" s="7"/>
      <c r="UBM186" s="7"/>
      <c r="UBN186" s="7"/>
      <c r="UBO186" s="7"/>
      <c r="UBP186" s="7"/>
      <c r="UBQ186" s="7"/>
      <c r="UBR186" s="7"/>
      <c r="UBS186" s="7"/>
      <c r="UBT186" s="7"/>
      <c r="UBU186" s="7"/>
      <c r="UBV186" s="7"/>
      <c r="UBW186" s="7"/>
      <c r="UBX186" s="7"/>
      <c r="UBY186" s="7"/>
      <c r="UBZ186" s="7"/>
      <c r="UCA186" s="7"/>
      <c r="UCB186" s="7"/>
      <c r="UCC186" s="7"/>
      <c r="UCD186" s="7"/>
      <c r="UCE186" s="7"/>
      <c r="UCF186" s="7"/>
      <c r="UCG186" s="7"/>
      <c r="UCH186" s="7"/>
      <c r="UCI186" s="7"/>
      <c r="UCJ186" s="7"/>
      <c r="UCK186" s="7"/>
      <c r="UCL186" s="7"/>
      <c r="UCM186" s="7"/>
      <c r="UCN186" s="7"/>
      <c r="UCO186" s="7"/>
      <c r="UCP186" s="7"/>
      <c r="UCQ186" s="7"/>
      <c r="UCR186" s="7"/>
      <c r="UCS186" s="7"/>
      <c r="UCT186" s="7"/>
      <c r="UCU186" s="7"/>
      <c r="UCV186" s="7"/>
      <c r="UCW186" s="7"/>
      <c r="UCX186" s="7"/>
      <c r="UCY186" s="7"/>
      <c r="UCZ186" s="7"/>
      <c r="UDA186" s="7"/>
      <c r="UDB186" s="7"/>
      <c r="UDC186" s="7"/>
      <c r="UDD186" s="7"/>
      <c r="UDE186" s="7"/>
      <c r="UDF186" s="7"/>
      <c r="UDG186" s="7"/>
      <c r="UDH186" s="7"/>
      <c r="UDI186" s="7"/>
      <c r="UDJ186" s="7"/>
      <c r="UDK186" s="7"/>
      <c r="UDL186" s="7"/>
      <c r="UDM186" s="7"/>
      <c r="UDN186" s="7"/>
      <c r="UDO186" s="7"/>
      <c r="UDP186" s="7"/>
      <c r="UDQ186" s="7"/>
      <c r="UDR186" s="7"/>
      <c r="UDS186" s="7"/>
      <c r="UDT186" s="7"/>
      <c r="UDU186" s="7"/>
      <c r="UDV186" s="7"/>
      <c r="UDW186" s="7"/>
      <c r="UDX186" s="7"/>
      <c r="UDY186" s="7"/>
      <c r="UDZ186" s="7"/>
      <c r="UEA186" s="7"/>
      <c r="UEB186" s="7"/>
      <c r="UEC186" s="7"/>
      <c r="UED186" s="7"/>
      <c r="UEE186" s="7"/>
      <c r="UEF186" s="7"/>
      <c r="UEG186" s="7"/>
      <c r="UEH186" s="7"/>
      <c r="UEI186" s="7"/>
      <c r="UEJ186" s="7"/>
      <c r="UEK186" s="7"/>
      <c r="UEL186" s="7"/>
      <c r="UEM186" s="7"/>
      <c r="UEN186" s="7"/>
      <c r="UEO186" s="7"/>
      <c r="UEP186" s="7"/>
      <c r="UEQ186" s="7"/>
      <c r="UER186" s="7"/>
      <c r="UES186" s="7"/>
      <c r="UET186" s="7"/>
      <c r="UEU186" s="7"/>
      <c r="UEV186" s="7"/>
      <c r="UEW186" s="7"/>
      <c r="UEX186" s="7"/>
      <c r="UEY186" s="7"/>
      <c r="UEZ186" s="7"/>
      <c r="UFA186" s="7"/>
      <c r="UFB186" s="7"/>
      <c r="UFC186" s="7"/>
      <c r="UFD186" s="7"/>
      <c r="UFE186" s="7"/>
      <c r="UFF186" s="7"/>
      <c r="UFG186" s="7"/>
      <c r="UFH186" s="7"/>
      <c r="UFI186" s="7"/>
      <c r="UFJ186" s="7"/>
      <c r="UFK186" s="7"/>
      <c r="UFL186" s="7"/>
      <c r="UFM186" s="7"/>
      <c r="UFN186" s="7"/>
      <c r="UFO186" s="7"/>
      <c r="UFP186" s="7"/>
      <c r="UFQ186" s="7"/>
      <c r="UFR186" s="7"/>
      <c r="UFS186" s="7"/>
      <c r="UFT186" s="7"/>
      <c r="UFU186" s="7"/>
      <c r="UFV186" s="7"/>
      <c r="UFW186" s="7"/>
      <c r="UFX186" s="7"/>
      <c r="UFY186" s="7"/>
      <c r="UFZ186" s="7"/>
      <c r="UGA186" s="7"/>
      <c r="UGB186" s="7"/>
      <c r="UGC186" s="7"/>
      <c r="UGD186" s="7"/>
      <c r="UGE186" s="7"/>
      <c r="UGF186" s="7"/>
      <c r="UGG186" s="7"/>
      <c r="UGH186" s="7"/>
      <c r="UGI186" s="7"/>
      <c r="UGJ186" s="7"/>
      <c r="UGK186" s="7"/>
      <c r="UGL186" s="7"/>
      <c r="UGM186" s="7"/>
      <c r="UGN186" s="7"/>
      <c r="UGO186" s="7"/>
      <c r="UGP186" s="7"/>
      <c r="UGQ186" s="7"/>
      <c r="UGR186" s="7"/>
      <c r="UGS186" s="7"/>
      <c r="UGT186" s="7"/>
      <c r="UGU186" s="7"/>
      <c r="UGV186" s="7"/>
      <c r="UGW186" s="7"/>
      <c r="UGX186" s="7"/>
      <c r="UGY186" s="7"/>
      <c r="UGZ186" s="7"/>
      <c r="UHA186" s="7"/>
      <c r="UHB186" s="7"/>
      <c r="UHC186" s="7"/>
      <c r="UHD186" s="7"/>
      <c r="UHE186" s="7"/>
      <c r="UHF186" s="7"/>
      <c r="UHG186" s="7"/>
      <c r="UHH186" s="7"/>
      <c r="UHI186" s="7"/>
      <c r="UHJ186" s="7"/>
      <c r="UHK186" s="7"/>
      <c r="UHL186" s="7"/>
      <c r="UHM186" s="7"/>
      <c r="UHN186" s="7"/>
      <c r="UHO186" s="7"/>
      <c r="UHP186" s="7"/>
      <c r="UHQ186" s="7"/>
      <c r="UHR186" s="7"/>
      <c r="UHS186" s="7"/>
      <c r="UHT186" s="7"/>
      <c r="UHU186" s="7"/>
      <c r="UHV186" s="7"/>
      <c r="UHW186" s="7"/>
      <c r="UHX186" s="7"/>
      <c r="UHY186" s="7"/>
      <c r="UHZ186" s="7"/>
      <c r="UIA186" s="7"/>
      <c r="UIB186" s="7"/>
      <c r="UIC186" s="7"/>
      <c r="UID186" s="7"/>
      <c r="UIE186" s="7"/>
      <c r="UIF186" s="7"/>
      <c r="UIG186" s="7"/>
      <c r="UIH186" s="7"/>
      <c r="UII186" s="7"/>
      <c r="UIJ186" s="7"/>
      <c r="UIK186" s="7"/>
      <c r="UIL186" s="7"/>
      <c r="UIM186" s="7"/>
      <c r="UIN186" s="7"/>
      <c r="UIO186" s="7"/>
      <c r="UIP186" s="7"/>
      <c r="UIQ186" s="7"/>
      <c r="UIR186" s="7"/>
      <c r="UIS186" s="7"/>
      <c r="UIT186" s="7"/>
      <c r="UIU186" s="7"/>
      <c r="UIV186" s="7"/>
      <c r="UIW186" s="7"/>
      <c r="UIX186" s="7"/>
      <c r="UIY186" s="7"/>
      <c r="UIZ186" s="7"/>
      <c r="UJA186" s="7"/>
      <c r="UJB186" s="7"/>
      <c r="UJC186" s="7"/>
      <c r="UJD186" s="7"/>
      <c r="UJE186" s="7"/>
      <c r="UJF186" s="7"/>
      <c r="UJG186" s="7"/>
      <c r="UJH186" s="7"/>
      <c r="UJI186" s="7"/>
      <c r="UJJ186" s="7"/>
      <c r="UJK186" s="7"/>
      <c r="UJL186" s="7"/>
      <c r="UJM186" s="7"/>
      <c r="UJN186" s="7"/>
      <c r="UJO186" s="7"/>
      <c r="UJP186" s="7"/>
      <c r="UJQ186" s="7"/>
      <c r="UJR186" s="7"/>
      <c r="UJS186" s="7"/>
      <c r="UJT186" s="7"/>
      <c r="UJU186" s="7"/>
      <c r="UJV186" s="7"/>
      <c r="UJW186" s="7"/>
      <c r="UJX186" s="7"/>
      <c r="UJY186" s="7"/>
      <c r="UJZ186" s="7"/>
      <c r="UKA186" s="7"/>
      <c r="UKB186" s="7"/>
      <c r="UKC186" s="7"/>
      <c r="UKD186" s="7"/>
      <c r="UKE186" s="7"/>
      <c r="UKF186" s="7"/>
      <c r="UKG186" s="7"/>
      <c r="UKH186" s="7"/>
      <c r="UKI186" s="7"/>
      <c r="UKJ186" s="7"/>
      <c r="UKK186" s="7"/>
      <c r="UKL186" s="7"/>
      <c r="UKM186" s="7"/>
      <c r="UKN186" s="7"/>
      <c r="UKO186" s="7"/>
      <c r="UKP186" s="7"/>
      <c r="UKQ186" s="7"/>
      <c r="UKR186" s="7"/>
      <c r="UKS186" s="7"/>
      <c r="UKT186" s="7"/>
      <c r="UKU186" s="7"/>
      <c r="UKV186" s="7"/>
      <c r="UKW186" s="7"/>
      <c r="UKX186" s="7"/>
      <c r="UKY186" s="7"/>
      <c r="UKZ186" s="7"/>
      <c r="ULA186" s="7"/>
      <c r="ULB186" s="7"/>
      <c r="ULC186" s="7"/>
      <c r="ULD186" s="7"/>
      <c r="ULE186" s="7"/>
      <c r="ULF186" s="7"/>
      <c r="ULG186" s="7"/>
      <c r="ULH186" s="7"/>
      <c r="ULI186" s="7"/>
      <c r="ULJ186" s="7"/>
      <c r="ULK186" s="7"/>
      <c r="ULL186" s="7"/>
      <c r="ULM186" s="7"/>
      <c r="ULN186" s="7"/>
      <c r="ULO186" s="7"/>
      <c r="ULP186" s="7"/>
      <c r="ULQ186" s="7"/>
      <c r="ULR186" s="7"/>
      <c r="ULS186" s="7"/>
      <c r="ULT186" s="7"/>
      <c r="ULU186" s="7"/>
      <c r="ULV186" s="7"/>
      <c r="ULW186" s="7"/>
      <c r="ULX186" s="7"/>
      <c r="ULY186" s="7"/>
      <c r="ULZ186" s="7"/>
      <c r="UMA186" s="7"/>
      <c r="UMB186" s="7"/>
      <c r="UMC186" s="7"/>
      <c r="UMD186" s="7"/>
      <c r="UME186" s="7"/>
      <c r="UMF186" s="7"/>
      <c r="UMG186" s="7"/>
      <c r="UMH186" s="7"/>
      <c r="UMI186" s="7"/>
      <c r="UMJ186" s="7"/>
      <c r="UMK186" s="7"/>
      <c r="UML186" s="7"/>
      <c r="UMM186" s="7"/>
      <c r="UMN186" s="7"/>
      <c r="UMO186" s="7"/>
      <c r="UMP186" s="7"/>
      <c r="UMQ186" s="7"/>
      <c r="UMR186" s="7"/>
      <c r="UMS186" s="7"/>
      <c r="UMT186" s="7"/>
      <c r="UMU186" s="7"/>
      <c r="UMV186" s="7"/>
      <c r="UMW186" s="7"/>
      <c r="UMX186" s="7"/>
      <c r="UMY186" s="7"/>
      <c r="UMZ186" s="7"/>
      <c r="UNA186" s="7"/>
      <c r="UNB186" s="7"/>
      <c r="UNC186" s="7"/>
      <c r="UND186" s="7"/>
      <c r="UNE186" s="7"/>
      <c r="UNF186" s="7"/>
      <c r="UNG186" s="7"/>
      <c r="UNH186" s="7"/>
      <c r="UNI186" s="7"/>
      <c r="UNJ186" s="7"/>
      <c r="UNK186" s="7"/>
      <c r="UNL186" s="7"/>
      <c r="UNM186" s="7"/>
      <c r="UNN186" s="7"/>
      <c r="UNO186" s="7"/>
      <c r="UNP186" s="7"/>
      <c r="UNQ186" s="7"/>
      <c r="UNR186" s="7"/>
      <c r="UNS186" s="7"/>
      <c r="UNT186" s="7"/>
      <c r="UNU186" s="7"/>
      <c r="UNV186" s="7"/>
      <c r="UNW186" s="7"/>
      <c r="UNX186" s="7"/>
      <c r="UNY186" s="7"/>
      <c r="UNZ186" s="7"/>
      <c r="UOA186" s="7"/>
      <c r="UOB186" s="7"/>
      <c r="UOC186" s="7"/>
      <c r="UOD186" s="7"/>
      <c r="UOE186" s="7"/>
      <c r="UOF186" s="7"/>
      <c r="UOG186" s="7"/>
      <c r="UOH186" s="7"/>
      <c r="UOI186" s="7"/>
      <c r="UOJ186" s="7"/>
      <c r="UOK186" s="7"/>
      <c r="UOL186" s="7"/>
      <c r="UOM186" s="7"/>
      <c r="UON186" s="7"/>
      <c r="UOO186" s="7"/>
      <c r="UOP186" s="7"/>
      <c r="UOQ186" s="7"/>
      <c r="UOR186" s="7"/>
      <c r="UOS186" s="7"/>
      <c r="UOT186" s="7"/>
      <c r="UOU186" s="7"/>
      <c r="UOV186" s="7"/>
      <c r="UOW186" s="7"/>
      <c r="UOX186" s="7"/>
      <c r="UOY186" s="7"/>
      <c r="UOZ186" s="7"/>
      <c r="UPA186" s="7"/>
      <c r="UPB186" s="7"/>
      <c r="UPC186" s="7"/>
      <c r="UPD186" s="7"/>
      <c r="UPE186" s="7"/>
      <c r="UPF186" s="7"/>
      <c r="UPG186" s="7"/>
      <c r="UPH186" s="7"/>
      <c r="UPI186" s="7"/>
      <c r="UPJ186" s="7"/>
      <c r="UPK186" s="7"/>
      <c r="UPL186" s="7"/>
      <c r="UPM186" s="7"/>
      <c r="UPN186" s="7"/>
      <c r="UPO186" s="7"/>
      <c r="UPP186" s="7"/>
      <c r="UPQ186" s="7"/>
      <c r="UPR186" s="7"/>
      <c r="UPS186" s="7"/>
      <c r="UPT186" s="7"/>
      <c r="UPU186" s="7"/>
      <c r="UPV186" s="7"/>
      <c r="UPW186" s="7"/>
      <c r="UPX186" s="7"/>
      <c r="UPY186" s="7"/>
      <c r="UPZ186" s="7"/>
      <c r="UQA186" s="7"/>
      <c r="UQB186" s="7"/>
      <c r="UQC186" s="7"/>
      <c r="UQD186" s="7"/>
      <c r="UQE186" s="7"/>
      <c r="UQF186" s="7"/>
      <c r="UQG186" s="7"/>
      <c r="UQH186" s="7"/>
      <c r="UQI186" s="7"/>
      <c r="UQJ186" s="7"/>
      <c r="UQK186" s="7"/>
      <c r="UQL186" s="7"/>
      <c r="UQM186" s="7"/>
      <c r="UQN186" s="7"/>
      <c r="UQO186" s="7"/>
      <c r="UQP186" s="7"/>
      <c r="UQQ186" s="7"/>
      <c r="UQR186" s="7"/>
      <c r="UQS186" s="7"/>
      <c r="UQT186" s="7"/>
      <c r="UQU186" s="7"/>
      <c r="UQV186" s="7"/>
      <c r="UQW186" s="7"/>
      <c r="UQX186" s="7"/>
      <c r="UQY186" s="7"/>
      <c r="UQZ186" s="7"/>
      <c r="URA186" s="7"/>
      <c r="URB186" s="7"/>
      <c r="URC186" s="7"/>
      <c r="URD186" s="7"/>
      <c r="URE186" s="7"/>
      <c r="URF186" s="7"/>
      <c r="URG186" s="7"/>
      <c r="URH186" s="7"/>
      <c r="URI186" s="7"/>
      <c r="URJ186" s="7"/>
      <c r="URK186" s="7"/>
      <c r="URL186" s="7"/>
      <c r="URM186" s="7"/>
      <c r="URN186" s="7"/>
      <c r="URO186" s="7"/>
      <c r="URP186" s="7"/>
      <c r="URQ186" s="7"/>
      <c r="URR186" s="7"/>
      <c r="URS186" s="7"/>
      <c r="URT186" s="7"/>
      <c r="URU186" s="7"/>
      <c r="URV186" s="7"/>
      <c r="URW186" s="7"/>
      <c r="URX186" s="7"/>
      <c r="URY186" s="7"/>
      <c r="URZ186" s="7"/>
      <c r="USA186" s="7"/>
      <c r="USB186" s="7"/>
      <c r="USC186" s="7"/>
      <c r="USD186" s="7"/>
      <c r="USE186" s="7"/>
      <c r="USF186" s="7"/>
      <c r="USG186" s="7"/>
      <c r="USH186" s="7"/>
      <c r="USI186" s="7"/>
      <c r="USJ186" s="7"/>
      <c r="USK186" s="7"/>
      <c r="USL186" s="7"/>
      <c r="USM186" s="7"/>
      <c r="USN186" s="7"/>
      <c r="USO186" s="7"/>
      <c r="USP186" s="7"/>
      <c r="USQ186" s="7"/>
      <c r="USR186" s="7"/>
      <c r="USS186" s="7"/>
      <c r="UST186" s="7"/>
      <c r="USU186" s="7"/>
      <c r="USV186" s="7"/>
      <c r="USW186" s="7"/>
      <c r="USX186" s="7"/>
      <c r="USY186" s="7"/>
      <c r="USZ186" s="7"/>
      <c r="UTA186" s="7"/>
      <c r="UTB186" s="7"/>
      <c r="UTC186" s="7"/>
      <c r="UTD186" s="7"/>
      <c r="UTE186" s="7"/>
      <c r="UTF186" s="7"/>
      <c r="UTG186" s="7"/>
      <c r="UTH186" s="7"/>
      <c r="UTI186" s="7"/>
      <c r="UTJ186" s="7"/>
      <c r="UTK186" s="7"/>
      <c r="UTL186" s="7"/>
      <c r="UTM186" s="7"/>
      <c r="UTN186" s="7"/>
      <c r="UTO186" s="7"/>
      <c r="UTP186" s="7"/>
      <c r="UTQ186" s="7"/>
      <c r="UTR186" s="7"/>
      <c r="UTS186" s="7"/>
      <c r="UTT186" s="7"/>
      <c r="UTU186" s="7"/>
      <c r="UTV186" s="7"/>
      <c r="UTW186" s="7"/>
      <c r="UTX186" s="7"/>
      <c r="UTY186" s="7"/>
      <c r="UTZ186" s="7"/>
      <c r="UUA186" s="7"/>
      <c r="UUB186" s="7"/>
      <c r="UUC186" s="7"/>
      <c r="UUD186" s="7"/>
      <c r="UUE186" s="7"/>
      <c r="UUF186" s="7"/>
      <c r="UUG186" s="7"/>
      <c r="UUH186" s="7"/>
      <c r="UUI186" s="7"/>
      <c r="UUJ186" s="7"/>
      <c r="UUK186" s="7"/>
      <c r="UUL186" s="7"/>
      <c r="UUM186" s="7"/>
      <c r="UUN186" s="7"/>
      <c r="UUO186" s="7"/>
      <c r="UUP186" s="7"/>
      <c r="UUQ186" s="7"/>
      <c r="UUR186" s="7"/>
      <c r="UUS186" s="7"/>
      <c r="UUT186" s="7"/>
      <c r="UUU186" s="7"/>
      <c r="UUV186" s="7"/>
      <c r="UUW186" s="7"/>
      <c r="UUX186" s="7"/>
      <c r="UUY186" s="7"/>
      <c r="UUZ186" s="7"/>
      <c r="UVA186" s="7"/>
      <c r="UVB186" s="7"/>
      <c r="UVC186" s="7"/>
      <c r="UVD186" s="7"/>
      <c r="UVE186" s="7"/>
      <c r="UVF186" s="7"/>
      <c r="UVG186" s="7"/>
      <c r="UVH186" s="7"/>
      <c r="UVI186" s="7"/>
      <c r="UVJ186" s="7"/>
      <c r="UVK186" s="7"/>
      <c r="UVL186" s="7"/>
      <c r="UVM186" s="7"/>
      <c r="UVN186" s="7"/>
      <c r="UVO186" s="7"/>
      <c r="UVP186" s="7"/>
      <c r="UVQ186" s="7"/>
      <c r="UVR186" s="7"/>
      <c r="UVS186" s="7"/>
      <c r="UVT186" s="7"/>
      <c r="UVU186" s="7"/>
      <c r="UVV186" s="7"/>
      <c r="UVW186" s="7"/>
      <c r="UVX186" s="7"/>
      <c r="UVY186" s="7"/>
      <c r="UVZ186" s="7"/>
      <c r="UWA186" s="7"/>
      <c r="UWB186" s="7"/>
      <c r="UWC186" s="7"/>
      <c r="UWD186" s="7"/>
      <c r="UWE186" s="7"/>
      <c r="UWF186" s="7"/>
      <c r="UWG186" s="7"/>
      <c r="UWH186" s="7"/>
      <c r="UWI186" s="7"/>
      <c r="UWJ186" s="7"/>
      <c r="UWK186" s="7"/>
      <c r="UWL186" s="7"/>
      <c r="UWM186" s="7"/>
      <c r="UWN186" s="7"/>
      <c r="UWO186" s="7"/>
      <c r="UWP186" s="7"/>
      <c r="UWQ186" s="7"/>
      <c r="UWR186" s="7"/>
      <c r="UWS186" s="7"/>
      <c r="UWT186" s="7"/>
      <c r="UWU186" s="7"/>
      <c r="UWV186" s="7"/>
      <c r="UWW186" s="7"/>
      <c r="UWX186" s="7"/>
      <c r="UWY186" s="7"/>
      <c r="UWZ186" s="7"/>
      <c r="UXA186" s="7"/>
      <c r="UXB186" s="7"/>
      <c r="UXC186" s="7"/>
      <c r="UXD186" s="7"/>
      <c r="UXE186" s="7"/>
      <c r="UXF186" s="7"/>
      <c r="UXG186" s="7"/>
      <c r="UXH186" s="7"/>
      <c r="UXI186" s="7"/>
      <c r="UXJ186" s="7"/>
      <c r="UXK186" s="7"/>
      <c r="UXL186" s="7"/>
      <c r="UXM186" s="7"/>
      <c r="UXN186" s="7"/>
      <c r="UXO186" s="7"/>
      <c r="UXP186" s="7"/>
      <c r="UXQ186" s="7"/>
      <c r="UXR186" s="7"/>
      <c r="UXS186" s="7"/>
      <c r="UXT186" s="7"/>
      <c r="UXU186" s="7"/>
      <c r="UXV186" s="7"/>
      <c r="UXW186" s="7"/>
      <c r="UXX186" s="7"/>
      <c r="UXY186" s="7"/>
      <c r="UXZ186" s="7"/>
      <c r="UYA186" s="7"/>
      <c r="UYB186" s="7"/>
      <c r="UYC186" s="7"/>
      <c r="UYD186" s="7"/>
      <c r="UYE186" s="7"/>
      <c r="UYF186" s="7"/>
      <c r="UYG186" s="7"/>
      <c r="UYH186" s="7"/>
      <c r="UYI186" s="7"/>
      <c r="UYJ186" s="7"/>
      <c r="UYK186" s="7"/>
      <c r="UYL186" s="7"/>
      <c r="UYM186" s="7"/>
      <c r="UYN186" s="7"/>
      <c r="UYO186" s="7"/>
      <c r="UYP186" s="7"/>
      <c r="UYQ186" s="7"/>
      <c r="UYR186" s="7"/>
      <c r="UYS186" s="7"/>
      <c r="UYT186" s="7"/>
      <c r="UYU186" s="7"/>
      <c r="UYV186" s="7"/>
      <c r="UYW186" s="7"/>
      <c r="UYX186" s="7"/>
      <c r="UYY186" s="7"/>
      <c r="UYZ186" s="7"/>
      <c r="UZA186" s="7"/>
      <c r="UZB186" s="7"/>
      <c r="UZC186" s="7"/>
      <c r="UZD186" s="7"/>
      <c r="UZE186" s="7"/>
      <c r="UZF186" s="7"/>
      <c r="UZG186" s="7"/>
      <c r="UZH186" s="7"/>
      <c r="UZI186" s="7"/>
      <c r="UZJ186" s="7"/>
      <c r="UZK186" s="7"/>
      <c r="UZL186" s="7"/>
      <c r="UZM186" s="7"/>
      <c r="UZN186" s="7"/>
      <c r="UZO186" s="7"/>
      <c r="UZP186" s="7"/>
      <c r="UZQ186" s="7"/>
      <c r="UZR186" s="7"/>
      <c r="UZS186" s="7"/>
      <c r="UZT186" s="7"/>
      <c r="UZU186" s="7"/>
      <c r="UZV186" s="7"/>
      <c r="UZW186" s="7"/>
      <c r="UZX186" s="7"/>
      <c r="UZY186" s="7"/>
      <c r="UZZ186" s="7"/>
      <c r="VAA186" s="7"/>
      <c r="VAB186" s="7"/>
      <c r="VAC186" s="7"/>
      <c r="VAD186" s="7"/>
      <c r="VAE186" s="7"/>
      <c r="VAF186" s="7"/>
      <c r="VAG186" s="7"/>
      <c r="VAH186" s="7"/>
      <c r="VAI186" s="7"/>
      <c r="VAJ186" s="7"/>
      <c r="VAK186" s="7"/>
      <c r="VAL186" s="7"/>
      <c r="VAM186" s="7"/>
      <c r="VAN186" s="7"/>
      <c r="VAO186" s="7"/>
      <c r="VAP186" s="7"/>
      <c r="VAQ186" s="7"/>
      <c r="VAR186" s="7"/>
      <c r="VAS186" s="7"/>
      <c r="VAT186" s="7"/>
      <c r="VAU186" s="7"/>
      <c r="VAV186" s="7"/>
      <c r="VAW186" s="7"/>
      <c r="VAX186" s="7"/>
      <c r="VAY186" s="7"/>
      <c r="VAZ186" s="7"/>
      <c r="VBA186" s="7"/>
      <c r="VBB186" s="7"/>
      <c r="VBC186" s="7"/>
      <c r="VBD186" s="7"/>
      <c r="VBE186" s="7"/>
      <c r="VBF186" s="7"/>
      <c r="VBG186" s="7"/>
      <c r="VBH186" s="7"/>
      <c r="VBI186" s="7"/>
      <c r="VBJ186" s="7"/>
      <c r="VBK186" s="7"/>
      <c r="VBL186" s="7"/>
      <c r="VBM186" s="7"/>
      <c r="VBN186" s="7"/>
      <c r="VBO186" s="7"/>
      <c r="VBP186" s="7"/>
      <c r="VBQ186" s="7"/>
      <c r="VBR186" s="7"/>
      <c r="VBS186" s="7"/>
      <c r="VBT186" s="7"/>
      <c r="VBU186" s="7"/>
      <c r="VBV186" s="7"/>
      <c r="VBW186" s="7"/>
      <c r="VBX186" s="7"/>
      <c r="VBY186" s="7"/>
      <c r="VBZ186" s="7"/>
      <c r="VCA186" s="7"/>
      <c r="VCB186" s="7"/>
      <c r="VCC186" s="7"/>
      <c r="VCD186" s="7"/>
      <c r="VCE186" s="7"/>
      <c r="VCF186" s="7"/>
      <c r="VCG186" s="7"/>
      <c r="VCH186" s="7"/>
      <c r="VCI186" s="7"/>
      <c r="VCJ186" s="7"/>
      <c r="VCK186" s="7"/>
      <c r="VCL186" s="7"/>
      <c r="VCM186" s="7"/>
      <c r="VCN186" s="7"/>
      <c r="VCO186" s="7"/>
      <c r="VCP186" s="7"/>
      <c r="VCQ186" s="7"/>
      <c r="VCR186" s="7"/>
      <c r="VCS186" s="7"/>
      <c r="VCT186" s="7"/>
      <c r="VCU186" s="7"/>
      <c r="VCV186" s="7"/>
      <c r="VCW186" s="7"/>
      <c r="VCX186" s="7"/>
      <c r="VCY186" s="7"/>
      <c r="VCZ186" s="7"/>
      <c r="VDA186" s="7"/>
      <c r="VDB186" s="7"/>
      <c r="VDC186" s="7"/>
      <c r="VDD186" s="7"/>
      <c r="VDE186" s="7"/>
      <c r="VDF186" s="7"/>
      <c r="VDG186" s="7"/>
      <c r="VDH186" s="7"/>
      <c r="VDI186" s="7"/>
      <c r="VDJ186" s="7"/>
      <c r="VDK186" s="7"/>
      <c r="VDL186" s="7"/>
      <c r="VDM186" s="7"/>
      <c r="VDN186" s="7"/>
      <c r="VDO186" s="7"/>
      <c r="VDP186" s="7"/>
      <c r="VDQ186" s="7"/>
      <c r="VDR186" s="7"/>
      <c r="VDS186" s="7"/>
      <c r="VDT186" s="7"/>
      <c r="VDU186" s="7"/>
      <c r="VDV186" s="7"/>
      <c r="VDW186" s="7"/>
      <c r="VDX186" s="7"/>
      <c r="VDY186" s="7"/>
      <c r="VDZ186" s="7"/>
      <c r="VEA186" s="7"/>
      <c r="VEB186" s="7"/>
      <c r="VEC186" s="7"/>
      <c r="VED186" s="7"/>
      <c r="VEE186" s="7"/>
      <c r="VEF186" s="7"/>
      <c r="VEG186" s="7"/>
      <c r="VEH186" s="7"/>
      <c r="VEI186" s="7"/>
      <c r="VEJ186" s="7"/>
      <c r="VEK186" s="7"/>
      <c r="VEL186" s="7"/>
      <c r="VEM186" s="7"/>
      <c r="VEN186" s="7"/>
      <c r="VEO186" s="7"/>
      <c r="VEP186" s="7"/>
      <c r="VEQ186" s="7"/>
      <c r="VER186" s="7"/>
      <c r="VES186" s="7"/>
      <c r="VET186" s="7"/>
      <c r="VEU186" s="7"/>
      <c r="VEV186" s="7"/>
      <c r="VEW186" s="7"/>
      <c r="VEX186" s="7"/>
      <c r="VEY186" s="7"/>
      <c r="VEZ186" s="7"/>
      <c r="VFA186" s="7"/>
      <c r="VFB186" s="7"/>
      <c r="VFC186" s="7"/>
      <c r="VFD186" s="7"/>
      <c r="VFE186" s="7"/>
      <c r="VFF186" s="7"/>
      <c r="VFG186" s="7"/>
      <c r="VFH186" s="7"/>
      <c r="VFI186" s="7"/>
      <c r="VFJ186" s="7"/>
      <c r="VFK186" s="7"/>
      <c r="VFL186" s="7"/>
      <c r="VFM186" s="7"/>
      <c r="VFN186" s="7"/>
      <c r="VFO186" s="7"/>
      <c r="VFP186" s="7"/>
      <c r="VFQ186" s="7"/>
      <c r="VFR186" s="7"/>
      <c r="VFS186" s="7"/>
      <c r="VFT186" s="7"/>
      <c r="VFU186" s="7"/>
      <c r="VFV186" s="7"/>
      <c r="VFW186" s="7"/>
      <c r="VFX186" s="7"/>
      <c r="VFY186" s="7"/>
      <c r="VFZ186" s="7"/>
      <c r="VGA186" s="7"/>
      <c r="VGB186" s="7"/>
      <c r="VGC186" s="7"/>
      <c r="VGD186" s="7"/>
      <c r="VGE186" s="7"/>
      <c r="VGF186" s="7"/>
      <c r="VGG186" s="7"/>
      <c r="VGH186" s="7"/>
      <c r="VGI186" s="7"/>
      <c r="VGJ186" s="7"/>
      <c r="VGK186" s="7"/>
      <c r="VGL186" s="7"/>
      <c r="VGM186" s="7"/>
      <c r="VGN186" s="7"/>
      <c r="VGO186" s="7"/>
      <c r="VGP186" s="7"/>
      <c r="VGQ186" s="7"/>
      <c r="VGR186" s="7"/>
      <c r="VGS186" s="7"/>
      <c r="VGT186" s="7"/>
      <c r="VGU186" s="7"/>
      <c r="VGV186" s="7"/>
      <c r="VGW186" s="7"/>
      <c r="VGX186" s="7"/>
      <c r="VGY186" s="7"/>
      <c r="VGZ186" s="7"/>
      <c r="VHA186" s="7"/>
      <c r="VHB186" s="7"/>
      <c r="VHC186" s="7"/>
      <c r="VHD186" s="7"/>
      <c r="VHE186" s="7"/>
      <c r="VHF186" s="7"/>
      <c r="VHG186" s="7"/>
      <c r="VHH186" s="7"/>
      <c r="VHI186" s="7"/>
      <c r="VHJ186" s="7"/>
      <c r="VHK186" s="7"/>
      <c r="VHL186" s="7"/>
      <c r="VHM186" s="7"/>
      <c r="VHN186" s="7"/>
      <c r="VHO186" s="7"/>
      <c r="VHP186" s="7"/>
      <c r="VHQ186" s="7"/>
      <c r="VHR186" s="7"/>
      <c r="VHS186" s="7"/>
      <c r="VHT186" s="7"/>
      <c r="VHU186" s="7"/>
      <c r="VHV186" s="7"/>
      <c r="VHW186" s="7"/>
      <c r="VHX186" s="7"/>
      <c r="VHY186" s="7"/>
      <c r="VHZ186" s="7"/>
      <c r="VIA186" s="7"/>
      <c r="VIB186" s="7"/>
      <c r="VIC186" s="7"/>
      <c r="VID186" s="7"/>
      <c r="VIE186" s="7"/>
      <c r="VIF186" s="7"/>
      <c r="VIG186" s="7"/>
      <c r="VIH186" s="7"/>
      <c r="VII186" s="7"/>
      <c r="VIJ186" s="7"/>
      <c r="VIK186" s="7"/>
      <c r="VIL186" s="7"/>
      <c r="VIM186" s="7"/>
      <c r="VIN186" s="7"/>
      <c r="VIO186" s="7"/>
      <c r="VIP186" s="7"/>
      <c r="VIQ186" s="7"/>
      <c r="VIR186" s="7"/>
      <c r="VIS186" s="7"/>
      <c r="VIT186" s="7"/>
      <c r="VIU186" s="7"/>
      <c r="VIV186" s="7"/>
      <c r="VIW186" s="7"/>
      <c r="VIX186" s="7"/>
      <c r="VIY186" s="7"/>
      <c r="VIZ186" s="7"/>
      <c r="VJA186" s="7"/>
      <c r="VJB186" s="7"/>
      <c r="VJC186" s="7"/>
      <c r="VJD186" s="7"/>
      <c r="VJE186" s="7"/>
      <c r="VJF186" s="7"/>
      <c r="VJG186" s="7"/>
      <c r="VJH186" s="7"/>
      <c r="VJI186" s="7"/>
      <c r="VJJ186" s="7"/>
      <c r="VJK186" s="7"/>
      <c r="VJL186" s="7"/>
      <c r="VJM186" s="7"/>
      <c r="VJN186" s="7"/>
      <c r="VJO186" s="7"/>
      <c r="VJP186" s="7"/>
      <c r="VJQ186" s="7"/>
      <c r="VJR186" s="7"/>
      <c r="VJS186" s="7"/>
      <c r="VJT186" s="7"/>
      <c r="VJU186" s="7"/>
      <c r="VJV186" s="7"/>
      <c r="VJW186" s="7"/>
      <c r="VJX186" s="7"/>
      <c r="VJY186" s="7"/>
      <c r="VJZ186" s="7"/>
      <c r="VKA186" s="7"/>
      <c r="VKB186" s="7"/>
      <c r="VKC186" s="7"/>
      <c r="VKD186" s="7"/>
      <c r="VKE186" s="7"/>
      <c r="VKF186" s="7"/>
      <c r="VKG186" s="7"/>
      <c r="VKH186" s="7"/>
      <c r="VKI186" s="7"/>
      <c r="VKJ186" s="7"/>
      <c r="VKK186" s="7"/>
      <c r="VKL186" s="7"/>
      <c r="VKM186" s="7"/>
      <c r="VKN186" s="7"/>
      <c r="VKO186" s="7"/>
      <c r="VKP186" s="7"/>
      <c r="VKQ186" s="7"/>
      <c r="VKR186" s="7"/>
      <c r="VKS186" s="7"/>
      <c r="VKT186" s="7"/>
      <c r="VKU186" s="7"/>
      <c r="VKV186" s="7"/>
      <c r="VKW186" s="7"/>
      <c r="VKX186" s="7"/>
      <c r="VKY186" s="7"/>
      <c r="VKZ186" s="7"/>
      <c r="VLA186" s="7"/>
      <c r="VLB186" s="7"/>
      <c r="VLC186" s="7"/>
      <c r="VLD186" s="7"/>
      <c r="VLE186" s="7"/>
      <c r="VLF186" s="7"/>
      <c r="VLG186" s="7"/>
      <c r="VLH186" s="7"/>
      <c r="VLI186" s="7"/>
      <c r="VLJ186" s="7"/>
      <c r="VLK186" s="7"/>
      <c r="VLL186" s="7"/>
      <c r="VLM186" s="7"/>
      <c r="VLN186" s="7"/>
      <c r="VLO186" s="7"/>
      <c r="VLP186" s="7"/>
      <c r="VLQ186" s="7"/>
      <c r="VLR186" s="7"/>
      <c r="VLS186" s="7"/>
      <c r="VLT186" s="7"/>
      <c r="VLU186" s="7"/>
      <c r="VLV186" s="7"/>
      <c r="VLW186" s="7"/>
      <c r="VLX186" s="7"/>
      <c r="VLY186" s="7"/>
      <c r="VLZ186" s="7"/>
      <c r="VMA186" s="7"/>
      <c r="VMB186" s="7"/>
      <c r="VMC186" s="7"/>
      <c r="VMD186" s="7"/>
      <c r="VME186" s="7"/>
      <c r="VMF186" s="7"/>
      <c r="VMG186" s="7"/>
      <c r="VMH186" s="7"/>
      <c r="VMI186" s="7"/>
      <c r="VMJ186" s="7"/>
      <c r="VMK186" s="7"/>
      <c r="VML186" s="7"/>
      <c r="VMM186" s="7"/>
      <c r="VMN186" s="7"/>
      <c r="VMO186" s="7"/>
      <c r="VMP186" s="7"/>
      <c r="VMQ186" s="7"/>
      <c r="VMR186" s="7"/>
      <c r="VMS186" s="7"/>
      <c r="VMT186" s="7"/>
      <c r="VMU186" s="7"/>
      <c r="VMV186" s="7"/>
      <c r="VMW186" s="7"/>
      <c r="VMX186" s="7"/>
      <c r="VMY186" s="7"/>
      <c r="VMZ186" s="7"/>
      <c r="VNA186" s="7"/>
      <c r="VNB186" s="7"/>
      <c r="VNC186" s="7"/>
      <c r="VND186" s="7"/>
      <c r="VNE186" s="7"/>
      <c r="VNF186" s="7"/>
      <c r="VNG186" s="7"/>
      <c r="VNH186" s="7"/>
      <c r="VNI186" s="7"/>
      <c r="VNJ186" s="7"/>
      <c r="VNK186" s="7"/>
      <c r="VNL186" s="7"/>
      <c r="VNM186" s="7"/>
      <c r="VNN186" s="7"/>
      <c r="VNO186" s="7"/>
      <c r="VNP186" s="7"/>
      <c r="VNQ186" s="7"/>
      <c r="VNR186" s="7"/>
      <c r="VNS186" s="7"/>
      <c r="VNT186" s="7"/>
      <c r="VNU186" s="7"/>
      <c r="VNV186" s="7"/>
      <c r="VNW186" s="7"/>
      <c r="VNX186" s="7"/>
      <c r="VNY186" s="7"/>
      <c r="VNZ186" s="7"/>
      <c r="VOA186" s="7"/>
      <c r="VOB186" s="7"/>
      <c r="VOC186" s="7"/>
      <c r="VOD186" s="7"/>
      <c r="VOE186" s="7"/>
      <c r="VOF186" s="7"/>
      <c r="VOG186" s="7"/>
      <c r="VOH186" s="7"/>
      <c r="VOI186" s="7"/>
      <c r="VOJ186" s="7"/>
      <c r="VOK186" s="7"/>
      <c r="VOL186" s="7"/>
      <c r="VOM186" s="7"/>
      <c r="VON186" s="7"/>
      <c r="VOO186" s="7"/>
      <c r="VOP186" s="7"/>
      <c r="VOQ186" s="7"/>
      <c r="VOR186" s="7"/>
      <c r="VOS186" s="7"/>
      <c r="VOT186" s="7"/>
      <c r="VOU186" s="7"/>
      <c r="VOV186" s="7"/>
      <c r="VOW186" s="7"/>
      <c r="VOX186" s="7"/>
      <c r="VOY186" s="7"/>
      <c r="VOZ186" s="7"/>
      <c r="VPA186" s="7"/>
      <c r="VPB186" s="7"/>
      <c r="VPC186" s="7"/>
      <c r="VPD186" s="7"/>
      <c r="VPE186" s="7"/>
      <c r="VPF186" s="7"/>
      <c r="VPG186" s="7"/>
      <c r="VPH186" s="7"/>
      <c r="VPI186" s="7"/>
      <c r="VPJ186" s="7"/>
      <c r="VPK186" s="7"/>
      <c r="VPL186" s="7"/>
      <c r="VPM186" s="7"/>
      <c r="VPN186" s="7"/>
      <c r="VPO186" s="7"/>
      <c r="VPP186" s="7"/>
      <c r="VPQ186" s="7"/>
      <c r="VPR186" s="7"/>
      <c r="VPS186" s="7"/>
      <c r="VPT186" s="7"/>
      <c r="VPU186" s="7"/>
      <c r="VPV186" s="7"/>
      <c r="VPW186" s="7"/>
      <c r="VPX186" s="7"/>
      <c r="VPY186" s="7"/>
      <c r="VPZ186" s="7"/>
      <c r="VQA186" s="7"/>
      <c r="VQB186" s="7"/>
      <c r="VQC186" s="7"/>
      <c r="VQD186" s="7"/>
      <c r="VQE186" s="7"/>
      <c r="VQF186" s="7"/>
      <c r="VQG186" s="7"/>
      <c r="VQH186" s="7"/>
      <c r="VQI186" s="7"/>
      <c r="VQJ186" s="7"/>
      <c r="VQK186" s="7"/>
      <c r="VQL186" s="7"/>
      <c r="VQM186" s="7"/>
      <c r="VQN186" s="7"/>
      <c r="VQO186" s="7"/>
      <c r="VQP186" s="7"/>
      <c r="VQQ186" s="7"/>
      <c r="VQR186" s="7"/>
      <c r="VQS186" s="7"/>
      <c r="VQT186" s="7"/>
      <c r="VQU186" s="7"/>
      <c r="VQV186" s="7"/>
      <c r="VQW186" s="7"/>
      <c r="VQX186" s="7"/>
      <c r="VQY186" s="7"/>
      <c r="VQZ186" s="7"/>
      <c r="VRA186" s="7"/>
      <c r="VRB186" s="7"/>
      <c r="VRC186" s="7"/>
      <c r="VRD186" s="7"/>
      <c r="VRE186" s="7"/>
      <c r="VRF186" s="7"/>
      <c r="VRG186" s="7"/>
      <c r="VRH186" s="7"/>
      <c r="VRI186" s="7"/>
      <c r="VRJ186" s="7"/>
      <c r="VRK186" s="7"/>
      <c r="VRL186" s="7"/>
      <c r="VRM186" s="7"/>
      <c r="VRN186" s="7"/>
      <c r="VRO186" s="7"/>
      <c r="VRP186" s="7"/>
      <c r="VRQ186" s="7"/>
      <c r="VRR186" s="7"/>
      <c r="VRS186" s="7"/>
      <c r="VRT186" s="7"/>
      <c r="VRU186" s="7"/>
      <c r="VRV186" s="7"/>
      <c r="VRW186" s="7"/>
      <c r="VRX186" s="7"/>
      <c r="VRY186" s="7"/>
      <c r="VRZ186" s="7"/>
      <c r="VSA186" s="7"/>
      <c r="VSB186" s="7"/>
      <c r="VSC186" s="7"/>
      <c r="VSD186" s="7"/>
      <c r="VSE186" s="7"/>
      <c r="VSF186" s="7"/>
      <c r="VSG186" s="7"/>
      <c r="VSH186" s="7"/>
      <c r="VSI186" s="7"/>
      <c r="VSJ186" s="7"/>
      <c r="VSK186" s="7"/>
      <c r="VSL186" s="7"/>
      <c r="VSM186" s="7"/>
      <c r="VSN186" s="7"/>
      <c r="VSO186" s="7"/>
      <c r="VSP186" s="7"/>
      <c r="VSQ186" s="7"/>
      <c r="VSR186" s="7"/>
      <c r="VSS186" s="7"/>
      <c r="VST186" s="7"/>
      <c r="VSU186" s="7"/>
      <c r="VSV186" s="7"/>
      <c r="VSW186" s="7"/>
      <c r="VSX186" s="7"/>
      <c r="VSY186" s="7"/>
      <c r="VSZ186" s="7"/>
      <c r="VTA186" s="7"/>
      <c r="VTB186" s="7"/>
      <c r="VTC186" s="7"/>
      <c r="VTD186" s="7"/>
      <c r="VTE186" s="7"/>
      <c r="VTF186" s="7"/>
      <c r="VTG186" s="7"/>
      <c r="VTH186" s="7"/>
      <c r="VTI186" s="7"/>
      <c r="VTJ186" s="7"/>
      <c r="VTK186" s="7"/>
      <c r="VTL186" s="7"/>
      <c r="VTM186" s="7"/>
      <c r="VTN186" s="7"/>
      <c r="VTO186" s="7"/>
      <c r="VTP186" s="7"/>
      <c r="VTQ186" s="7"/>
      <c r="VTR186" s="7"/>
      <c r="VTS186" s="7"/>
      <c r="VTT186" s="7"/>
      <c r="VTU186" s="7"/>
      <c r="VTV186" s="7"/>
      <c r="VTW186" s="7"/>
      <c r="VTX186" s="7"/>
      <c r="VTY186" s="7"/>
      <c r="VTZ186" s="7"/>
      <c r="VUA186" s="7"/>
      <c r="VUB186" s="7"/>
      <c r="VUC186" s="7"/>
      <c r="VUD186" s="7"/>
      <c r="VUE186" s="7"/>
      <c r="VUF186" s="7"/>
      <c r="VUG186" s="7"/>
      <c r="VUH186" s="7"/>
      <c r="VUI186" s="7"/>
      <c r="VUJ186" s="7"/>
      <c r="VUK186" s="7"/>
      <c r="VUL186" s="7"/>
      <c r="VUM186" s="7"/>
      <c r="VUN186" s="7"/>
      <c r="VUO186" s="7"/>
      <c r="VUP186" s="7"/>
      <c r="VUQ186" s="7"/>
      <c r="VUR186" s="7"/>
      <c r="VUS186" s="7"/>
      <c r="VUT186" s="7"/>
      <c r="VUU186" s="7"/>
      <c r="VUV186" s="7"/>
      <c r="VUW186" s="7"/>
      <c r="VUX186" s="7"/>
      <c r="VUY186" s="7"/>
      <c r="VUZ186" s="7"/>
      <c r="VVA186" s="7"/>
      <c r="VVB186" s="7"/>
      <c r="VVC186" s="7"/>
      <c r="VVD186" s="7"/>
      <c r="VVE186" s="7"/>
      <c r="VVF186" s="7"/>
      <c r="VVG186" s="7"/>
      <c r="VVH186" s="7"/>
      <c r="VVI186" s="7"/>
      <c r="VVJ186" s="7"/>
      <c r="VVK186" s="7"/>
      <c r="VVL186" s="7"/>
      <c r="VVM186" s="7"/>
      <c r="VVN186" s="7"/>
      <c r="VVO186" s="7"/>
      <c r="VVP186" s="7"/>
      <c r="VVQ186" s="7"/>
      <c r="VVR186" s="7"/>
      <c r="VVS186" s="7"/>
      <c r="VVT186" s="7"/>
      <c r="VVU186" s="7"/>
      <c r="VVV186" s="7"/>
      <c r="VVW186" s="7"/>
      <c r="VVX186" s="7"/>
      <c r="VVY186" s="7"/>
      <c r="VVZ186" s="7"/>
      <c r="VWA186" s="7"/>
      <c r="VWB186" s="7"/>
      <c r="VWC186" s="7"/>
      <c r="VWD186" s="7"/>
      <c r="VWE186" s="7"/>
      <c r="VWF186" s="7"/>
      <c r="VWG186" s="7"/>
      <c r="VWH186" s="7"/>
      <c r="VWI186" s="7"/>
      <c r="VWJ186" s="7"/>
      <c r="VWK186" s="7"/>
      <c r="VWL186" s="7"/>
      <c r="VWM186" s="7"/>
      <c r="VWN186" s="7"/>
      <c r="VWO186" s="7"/>
      <c r="VWP186" s="7"/>
      <c r="VWQ186" s="7"/>
      <c r="VWR186" s="7"/>
      <c r="VWS186" s="7"/>
      <c r="VWT186" s="7"/>
      <c r="VWU186" s="7"/>
      <c r="VWV186" s="7"/>
      <c r="VWW186" s="7"/>
      <c r="VWX186" s="7"/>
      <c r="VWY186" s="7"/>
      <c r="VWZ186" s="7"/>
      <c r="VXA186" s="7"/>
      <c r="VXB186" s="7"/>
      <c r="VXC186" s="7"/>
      <c r="VXD186" s="7"/>
      <c r="VXE186" s="7"/>
      <c r="VXF186" s="7"/>
      <c r="VXG186" s="7"/>
      <c r="VXH186" s="7"/>
      <c r="VXI186" s="7"/>
      <c r="VXJ186" s="7"/>
      <c r="VXK186" s="7"/>
      <c r="VXL186" s="7"/>
      <c r="VXM186" s="7"/>
      <c r="VXN186" s="7"/>
      <c r="VXO186" s="7"/>
      <c r="VXP186" s="7"/>
      <c r="VXQ186" s="7"/>
      <c r="VXR186" s="7"/>
      <c r="VXS186" s="7"/>
      <c r="VXT186" s="7"/>
      <c r="VXU186" s="7"/>
      <c r="VXV186" s="7"/>
      <c r="VXW186" s="7"/>
      <c r="VXX186" s="7"/>
      <c r="VXY186" s="7"/>
      <c r="VXZ186" s="7"/>
      <c r="VYA186" s="7"/>
      <c r="VYB186" s="7"/>
      <c r="VYC186" s="7"/>
      <c r="VYD186" s="7"/>
      <c r="VYE186" s="7"/>
      <c r="VYF186" s="7"/>
      <c r="VYG186" s="7"/>
      <c r="VYH186" s="7"/>
      <c r="VYI186" s="7"/>
      <c r="VYJ186" s="7"/>
      <c r="VYK186" s="7"/>
      <c r="VYL186" s="7"/>
      <c r="VYM186" s="7"/>
      <c r="VYN186" s="7"/>
      <c r="VYO186" s="7"/>
      <c r="VYP186" s="7"/>
      <c r="VYQ186" s="7"/>
      <c r="VYR186" s="7"/>
      <c r="VYS186" s="7"/>
      <c r="VYT186" s="7"/>
      <c r="VYU186" s="7"/>
      <c r="VYV186" s="7"/>
      <c r="VYW186" s="7"/>
      <c r="VYX186" s="7"/>
      <c r="VYY186" s="7"/>
      <c r="VYZ186" s="7"/>
      <c r="VZA186" s="7"/>
      <c r="VZB186" s="7"/>
      <c r="VZC186" s="7"/>
      <c r="VZD186" s="7"/>
      <c r="VZE186" s="7"/>
      <c r="VZF186" s="7"/>
      <c r="VZG186" s="7"/>
      <c r="VZH186" s="7"/>
      <c r="VZI186" s="7"/>
      <c r="VZJ186" s="7"/>
      <c r="VZK186" s="7"/>
      <c r="VZL186" s="7"/>
      <c r="VZM186" s="7"/>
      <c r="VZN186" s="7"/>
      <c r="VZO186" s="7"/>
      <c r="VZP186" s="7"/>
      <c r="VZQ186" s="7"/>
      <c r="VZR186" s="7"/>
      <c r="VZS186" s="7"/>
      <c r="VZT186" s="7"/>
      <c r="VZU186" s="7"/>
      <c r="VZV186" s="7"/>
      <c r="VZW186" s="7"/>
      <c r="VZX186" s="7"/>
      <c r="VZY186" s="7"/>
      <c r="VZZ186" s="7"/>
      <c r="WAA186" s="7"/>
      <c r="WAB186" s="7"/>
      <c r="WAC186" s="7"/>
      <c r="WAD186" s="7"/>
      <c r="WAE186" s="7"/>
      <c r="WAF186" s="7"/>
      <c r="WAG186" s="7"/>
      <c r="WAH186" s="7"/>
      <c r="WAI186" s="7"/>
      <c r="WAJ186" s="7"/>
      <c r="WAK186" s="7"/>
      <c r="WAL186" s="7"/>
      <c r="WAM186" s="7"/>
      <c r="WAN186" s="7"/>
      <c r="WAO186" s="7"/>
      <c r="WAP186" s="7"/>
      <c r="WAQ186" s="7"/>
      <c r="WAR186" s="7"/>
      <c r="WAS186" s="7"/>
      <c r="WAT186" s="7"/>
      <c r="WAU186" s="7"/>
      <c r="WAV186" s="7"/>
      <c r="WAW186" s="7"/>
      <c r="WAX186" s="7"/>
      <c r="WAY186" s="7"/>
      <c r="WAZ186" s="7"/>
      <c r="WBA186" s="7"/>
      <c r="WBB186" s="7"/>
      <c r="WBC186" s="7"/>
      <c r="WBD186" s="7"/>
      <c r="WBE186" s="7"/>
      <c r="WBF186" s="7"/>
      <c r="WBG186" s="7"/>
      <c r="WBH186" s="7"/>
      <c r="WBI186" s="7"/>
      <c r="WBJ186" s="7"/>
      <c r="WBK186" s="7"/>
      <c r="WBL186" s="7"/>
      <c r="WBM186" s="7"/>
      <c r="WBN186" s="7"/>
      <c r="WBO186" s="7"/>
      <c r="WBP186" s="7"/>
      <c r="WBQ186" s="7"/>
      <c r="WBR186" s="7"/>
      <c r="WBS186" s="7"/>
      <c r="WBT186" s="7"/>
      <c r="WBU186" s="7"/>
      <c r="WBV186" s="7"/>
      <c r="WBW186" s="7"/>
      <c r="WBX186" s="7"/>
      <c r="WBY186" s="7"/>
      <c r="WBZ186" s="7"/>
      <c r="WCA186" s="7"/>
      <c r="WCB186" s="7"/>
      <c r="WCC186" s="7"/>
      <c r="WCD186" s="7"/>
      <c r="WCE186" s="7"/>
      <c r="WCF186" s="7"/>
      <c r="WCG186" s="7"/>
      <c r="WCH186" s="7"/>
      <c r="WCI186" s="7"/>
      <c r="WCJ186" s="7"/>
      <c r="WCK186" s="7"/>
      <c r="WCL186" s="7"/>
      <c r="WCM186" s="7"/>
      <c r="WCN186" s="7"/>
      <c r="WCO186" s="7"/>
      <c r="WCP186" s="7"/>
      <c r="WCQ186" s="7"/>
      <c r="WCR186" s="7"/>
      <c r="WCS186" s="7"/>
      <c r="WCT186" s="7"/>
      <c r="WCU186" s="7"/>
      <c r="WCV186" s="7"/>
      <c r="WCW186" s="7"/>
      <c r="WCX186" s="7"/>
      <c r="WCY186" s="7"/>
      <c r="WCZ186" s="7"/>
      <c r="WDA186" s="7"/>
      <c r="WDB186" s="7"/>
      <c r="WDC186" s="7"/>
      <c r="WDD186" s="7"/>
      <c r="WDE186" s="7"/>
      <c r="WDF186" s="7"/>
      <c r="WDG186" s="7"/>
      <c r="WDH186" s="7"/>
      <c r="WDI186" s="7"/>
      <c r="WDJ186" s="7"/>
      <c r="WDK186" s="7"/>
      <c r="WDL186" s="7"/>
      <c r="WDM186" s="7"/>
      <c r="WDN186" s="7"/>
      <c r="WDO186" s="7"/>
      <c r="WDP186" s="7"/>
      <c r="WDQ186" s="7"/>
      <c r="WDR186" s="7"/>
      <c r="WDS186" s="7"/>
      <c r="WDT186" s="7"/>
      <c r="WDU186" s="7"/>
      <c r="WDV186" s="7"/>
      <c r="WDW186" s="7"/>
      <c r="WDX186" s="7"/>
      <c r="WDY186" s="7"/>
      <c r="WDZ186" s="7"/>
      <c r="WEA186" s="7"/>
      <c r="WEB186" s="7"/>
      <c r="WEC186" s="7"/>
      <c r="WED186" s="7"/>
      <c r="WEE186" s="7"/>
      <c r="WEF186" s="7"/>
      <c r="WEG186" s="7"/>
      <c r="WEH186" s="7"/>
      <c r="WEI186" s="7"/>
      <c r="WEJ186" s="7"/>
      <c r="WEK186" s="7"/>
      <c r="WEL186" s="7"/>
      <c r="WEM186" s="7"/>
      <c r="WEN186" s="7"/>
      <c r="WEO186" s="7"/>
      <c r="WEP186" s="7"/>
      <c r="WEQ186" s="7"/>
      <c r="WER186" s="7"/>
      <c r="WES186" s="7"/>
      <c r="WET186" s="7"/>
      <c r="WEU186" s="7"/>
      <c r="WEV186" s="7"/>
      <c r="WEW186" s="7"/>
      <c r="WEX186" s="7"/>
      <c r="WEY186" s="7"/>
      <c r="WEZ186" s="7"/>
      <c r="WFA186" s="7"/>
      <c r="WFB186" s="7"/>
      <c r="WFC186" s="7"/>
      <c r="WFD186" s="7"/>
      <c r="WFE186" s="7"/>
      <c r="WFF186" s="7"/>
      <c r="WFG186" s="7"/>
      <c r="WFH186" s="7"/>
      <c r="WFI186" s="7"/>
      <c r="WFJ186" s="7"/>
      <c r="WFK186" s="7"/>
      <c r="WFL186" s="7"/>
      <c r="WFM186" s="7"/>
      <c r="WFN186" s="7"/>
      <c r="WFO186" s="7"/>
      <c r="WFP186" s="7"/>
      <c r="WFQ186" s="7"/>
      <c r="WFR186" s="7"/>
      <c r="WFS186" s="7"/>
      <c r="WFT186" s="7"/>
      <c r="WFU186" s="7"/>
      <c r="WFV186" s="7"/>
      <c r="WFW186" s="7"/>
      <c r="WFX186" s="7"/>
      <c r="WFY186" s="7"/>
      <c r="WFZ186" s="7"/>
      <c r="WGA186" s="7"/>
      <c r="WGB186" s="7"/>
      <c r="WGC186" s="7"/>
      <c r="WGD186" s="7"/>
      <c r="WGE186" s="7"/>
      <c r="WGF186" s="7"/>
      <c r="WGG186" s="7"/>
      <c r="WGH186" s="7"/>
      <c r="WGI186" s="7"/>
      <c r="WGJ186" s="7"/>
      <c r="WGK186" s="7"/>
      <c r="WGL186" s="7"/>
      <c r="WGM186" s="7"/>
      <c r="WGN186" s="7"/>
      <c r="WGO186" s="7"/>
      <c r="WGP186" s="7"/>
      <c r="WGQ186" s="7"/>
      <c r="WGR186" s="7"/>
      <c r="WGS186" s="7"/>
      <c r="WGT186" s="7"/>
      <c r="WGU186" s="7"/>
      <c r="WGV186" s="7"/>
      <c r="WGW186" s="7"/>
      <c r="WGX186" s="7"/>
      <c r="WGY186" s="7"/>
      <c r="WGZ186" s="7"/>
      <c r="WHA186" s="7"/>
      <c r="WHB186" s="7"/>
      <c r="WHC186" s="7"/>
      <c r="WHD186" s="7"/>
      <c r="WHE186" s="7"/>
      <c r="WHF186" s="7"/>
      <c r="WHG186" s="7"/>
      <c r="WHH186" s="7"/>
      <c r="WHI186" s="7"/>
      <c r="WHJ186" s="7"/>
      <c r="WHK186" s="7"/>
      <c r="WHL186" s="7"/>
      <c r="WHM186" s="7"/>
      <c r="WHN186" s="7"/>
      <c r="WHO186" s="7"/>
      <c r="WHP186" s="7"/>
      <c r="WHQ186" s="7"/>
      <c r="WHR186" s="7"/>
      <c r="WHS186" s="7"/>
      <c r="WHT186" s="7"/>
      <c r="WHU186" s="7"/>
      <c r="WHV186" s="7"/>
      <c r="WHW186" s="7"/>
      <c r="WHX186" s="7"/>
      <c r="WHY186" s="7"/>
      <c r="WHZ186" s="7"/>
      <c r="WIA186" s="7"/>
      <c r="WIB186" s="7"/>
      <c r="WIC186" s="7"/>
      <c r="WID186" s="7"/>
      <c r="WIE186" s="7"/>
      <c r="WIF186" s="7"/>
      <c r="WIG186" s="7"/>
      <c r="WIH186" s="7"/>
      <c r="WII186" s="7"/>
      <c r="WIJ186" s="7"/>
      <c r="WIK186" s="7"/>
      <c r="WIL186" s="7"/>
      <c r="WIM186" s="7"/>
      <c r="WIN186" s="7"/>
      <c r="WIO186" s="7"/>
      <c r="WIP186" s="7"/>
      <c r="WIQ186" s="7"/>
      <c r="WIR186" s="7"/>
      <c r="WIS186" s="7"/>
      <c r="WIT186" s="7"/>
      <c r="WIU186" s="7"/>
      <c r="WIV186" s="7"/>
      <c r="WIW186" s="7"/>
      <c r="WIX186" s="7"/>
      <c r="WIY186" s="7"/>
      <c r="WIZ186" s="7"/>
      <c r="WJA186" s="7"/>
      <c r="WJB186" s="7"/>
      <c r="WJC186" s="7"/>
      <c r="WJD186" s="7"/>
      <c r="WJE186" s="7"/>
      <c r="WJF186" s="7"/>
      <c r="WJG186" s="7"/>
      <c r="WJH186" s="7"/>
      <c r="WJI186" s="7"/>
      <c r="WJJ186" s="7"/>
      <c r="WJK186" s="7"/>
      <c r="WJL186" s="7"/>
      <c r="WJM186" s="7"/>
      <c r="WJN186" s="7"/>
      <c r="WJO186" s="7"/>
      <c r="WJP186" s="7"/>
      <c r="WJQ186" s="7"/>
      <c r="WJR186" s="7"/>
      <c r="WJS186" s="7"/>
      <c r="WJT186" s="7"/>
      <c r="WJU186" s="7"/>
      <c r="WJV186" s="7"/>
      <c r="WJW186" s="7"/>
      <c r="WJX186" s="7"/>
      <c r="WJY186" s="7"/>
      <c r="WJZ186" s="7"/>
      <c r="WKA186" s="7"/>
      <c r="WKB186" s="7"/>
      <c r="WKC186" s="7"/>
      <c r="WKD186" s="7"/>
      <c r="WKE186" s="7"/>
      <c r="WKF186" s="7"/>
      <c r="WKG186" s="7"/>
      <c r="WKH186" s="7"/>
      <c r="WKI186" s="7"/>
      <c r="WKJ186" s="7"/>
      <c r="WKK186" s="7"/>
      <c r="WKL186" s="7"/>
      <c r="WKM186" s="7"/>
      <c r="WKN186" s="7"/>
      <c r="WKO186" s="7"/>
      <c r="WKP186" s="7"/>
      <c r="WKQ186" s="7"/>
      <c r="WKR186" s="7"/>
      <c r="WKS186" s="7"/>
      <c r="WKT186" s="7"/>
      <c r="WKU186" s="7"/>
      <c r="WKV186" s="7"/>
      <c r="WKW186" s="7"/>
      <c r="WKX186" s="7"/>
      <c r="WKY186" s="7"/>
      <c r="WKZ186" s="7"/>
      <c r="WLA186" s="7"/>
      <c r="WLB186" s="7"/>
      <c r="WLC186" s="7"/>
      <c r="WLD186" s="7"/>
      <c r="WLE186" s="7"/>
      <c r="WLF186" s="7"/>
      <c r="WLG186" s="7"/>
      <c r="WLH186" s="7"/>
      <c r="WLI186" s="7"/>
      <c r="WLJ186" s="7"/>
      <c r="WLK186" s="7"/>
      <c r="WLL186" s="7"/>
      <c r="WLM186" s="7"/>
      <c r="WLN186" s="7"/>
      <c r="WLO186" s="7"/>
      <c r="WLP186" s="7"/>
      <c r="WLQ186" s="7"/>
      <c r="WLR186" s="7"/>
      <c r="WLS186" s="7"/>
      <c r="WLT186" s="7"/>
      <c r="WLU186" s="7"/>
      <c r="WLV186" s="7"/>
      <c r="WLW186" s="7"/>
      <c r="WLX186" s="7"/>
      <c r="WLY186" s="7"/>
      <c r="WLZ186" s="7"/>
      <c r="WMA186" s="7"/>
      <c r="WMB186" s="7"/>
      <c r="WMC186" s="7"/>
      <c r="WMD186" s="7"/>
      <c r="WME186" s="7"/>
      <c r="WMF186" s="7"/>
      <c r="WMG186" s="7"/>
      <c r="WMH186" s="7"/>
      <c r="WMI186" s="7"/>
      <c r="WMJ186" s="7"/>
      <c r="WMK186" s="7"/>
      <c r="WML186" s="7"/>
      <c r="WMM186" s="7"/>
      <c r="WMN186" s="7"/>
      <c r="WMO186" s="7"/>
      <c r="WMP186" s="7"/>
      <c r="WMQ186" s="7"/>
      <c r="WMR186" s="7"/>
      <c r="WMS186" s="7"/>
      <c r="WMT186" s="7"/>
      <c r="WMU186" s="7"/>
      <c r="WMV186" s="7"/>
      <c r="WMW186" s="7"/>
      <c r="WMX186" s="7"/>
      <c r="WMY186" s="7"/>
      <c r="WMZ186" s="7"/>
      <c r="WNA186" s="7"/>
      <c r="WNB186" s="7"/>
      <c r="WNC186" s="7"/>
      <c r="WND186" s="7"/>
      <c r="WNE186" s="7"/>
      <c r="WNF186" s="7"/>
      <c r="WNG186" s="7"/>
      <c r="WNH186" s="7"/>
      <c r="WNI186" s="7"/>
      <c r="WNJ186" s="7"/>
      <c r="WNK186" s="7"/>
      <c r="WNL186" s="7"/>
      <c r="WNM186" s="7"/>
      <c r="WNN186" s="7"/>
      <c r="WNO186" s="7"/>
      <c r="WNP186" s="7"/>
      <c r="WNQ186" s="7"/>
      <c r="WNR186" s="7"/>
      <c r="WNS186" s="7"/>
      <c r="WNT186" s="7"/>
      <c r="WNU186" s="7"/>
      <c r="WNV186" s="7"/>
      <c r="WNW186" s="7"/>
      <c r="WNX186" s="7"/>
      <c r="WNY186" s="7"/>
      <c r="WNZ186" s="7"/>
      <c r="WOA186" s="7"/>
      <c r="WOB186" s="7"/>
      <c r="WOC186" s="7"/>
      <c r="WOD186" s="7"/>
      <c r="WOE186" s="7"/>
      <c r="WOF186" s="7"/>
      <c r="WOG186" s="7"/>
      <c r="WOH186" s="7"/>
      <c r="WOI186" s="7"/>
      <c r="WOJ186" s="7"/>
      <c r="WOK186" s="7"/>
      <c r="WOL186" s="7"/>
      <c r="WOM186" s="7"/>
      <c r="WON186" s="7"/>
      <c r="WOO186" s="7"/>
      <c r="WOP186" s="7"/>
      <c r="WOQ186" s="7"/>
      <c r="WOR186" s="7"/>
      <c r="WOS186" s="7"/>
      <c r="WOT186" s="7"/>
      <c r="WOU186" s="7"/>
      <c r="WOV186" s="7"/>
      <c r="WOW186" s="7"/>
      <c r="WOX186" s="7"/>
      <c r="WOY186" s="7"/>
      <c r="WOZ186" s="7"/>
      <c r="WPA186" s="7"/>
      <c r="WPB186" s="7"/>
      <c r="WPC186" s="7"/>
      <c r="WPD186" s="7"/>
      <c r="WPE186" s="7"/>
      <c r="WPF186" s="7"/>
      <c r="WPG186" s="7"/>
      <c r="WPH186" s="7"/>
      <c r="WPI186" s="7"/>
      <c r="WPJ186" s="7"/>
      <c r="WPK186" s="7"/>
      <c r="WPL186" s="7"/>
      <c r="WPM186" s="7"/>
      <c r="WPN186" s="7"/>
      <c r="WPO186" s="7"/>
      <c r="WPP186" s="7"/>
      <c r="WPQ186" s="7"/>
      <c r="WPR186" s="7"/>
      <c r="WPS186" s="7"/>
      <c r="WPT186" s="7"/>
      <c r="WPU186" s="7"/>
      <c r="WPV186" s="7"/>
      <c r="WPW186" s="7"/>
      <c r="WPX186" s="7"/>
      <c r="WPY186" s="7"/>
      <c r="WPZ186" s="7"/>
      <c r="WQA186" s="7"/>
      <c r="WQB186" s="7"/>
      <c r="WQC186" s="7"/>
      <c r="WQD186" s="7"/>
      <c r="WQE186" s="7"/>
      <c r="WQF186" s="7"/>
      <c r="WQG186" s="7"/>
      <c r="WQH186" s="7"/>
      <c r="WQI186" s="7"/>
      <c r="WQJ186" s="7"/>
      <c r="WQK186" s="7"/>
      <c r="WQL186" s="7"/>
      <c r="WQM186" s="7"/>
      <c r="WQN186" s="7"/>
      <c r="WQO186" s="7"/>
      <c r="WQP186" s="7"/>
      <c r="WQQ186" s="7"/>
      <c r="WQR186" s="7"/>
      <c r="WQS186" s="7"/>
      <c r="WQT186" s="7"/>
      <c r="WQU186" s="7"/>
      <c r="WQV186" s="7"/>
      <c r="WQW186" s="7"/>
      <c r="WQX186" s="7"/>
      <c r="WQY186" s="7"/>
      <c r="WQZ186" s="7"/>
      <c r="WRA186" s="7"/>
      <c r="WRB186" s="7"/>
      <c r="WRC186" s="7"/>
      <c r="WRD186" s="7"/>
      <c r="WRE186" s="7"/>
      <c r="WRF186" s="7"/>
      <c r="WRG186" s="7"/>
      <c r="WRH186" s="7"/>
      <c r="WRI186" s="7"/>
      <c r="WRJ186" s="7"/>
      <c r="WRK186" s="7"/>
      <c r="WRL186" s="7"/>
      <c r="WRM186" s="7"/>
      <c r="WRN186" s="7"/>
      <c r="WRO186" s="7"/>
      <c r="WRP186" s="7"/>
      <c r="WRQ186" s="7"/>
      <c r="WRR186" s="7"/>
      <c r="WRS186" s="7"/>
      <c r="WRT186" s="7"/>
      <c r="WRU186" s="7"/>
      <c r="WRV186" s="7"/>
      <c r="WRW186" s="7"/>
      <c r="WRX186" s="7"/>
      <c r="WRY186" s="7"/>
      <c r="WRZ186" s="7"/>
      <c r="WSA186" s="7"/>
      <c r="WSB186" s="7"/>
      <c r="WSC186" s="7"/>
      <c r="WSD186" s="7"/>
      <c r="WSE186" s="7"/>
      <c r="WSF186" s="7"/>
      <c r="WSG186" s="7"/>
      <c r="WSH186" s="7"/>
      <c r="WSI186" s="7"/>
      <c r="WSJ186" s="7"/>
      <c r="WSK186" s="7"/>
      <c r="WSL186" s="7"/>
      <c r="WSM186" s="7"/>
      <c r="WSN186" s="7"/>
      <c r="WSO186" s="7"/>
      <c r="WSP186" s="7"/>
      <c r="WSQ186" s="7"/>
      <c r="WSR186" s="7"/>
      <c r="WSS186" s="7"/>
      <c r="WST186" s="7"/>
      <c r="WSU186" s="7"/>
      <c r="WSV186" s="7"/>
      <c r="WSW186" s="7"/>
      <c r="WSX186" s="7"/>
      <c r="WSY186" s="7"/>
      <c r="WSZ186" s="7"/>
      <c r="WTA186" s="7"/>
      <c r="WTB186" s="7"/>
      <c r="WTC186" s="7"/>
      <c r="WTD186" s="7"/>
      <c r="WTE186" s="7"/>
      <c r="WTF186" s="7"/>
      <c r="WTG186" s="7"/>
      <c r="WTH186" s="7"/>
      <c r="WTI186" s="7"/>
      <c r="WTJ186" s="7"/>
      <c r="WTK186" s="7"/>
      <c r="WTL186" s="7"/>
      <c r="WTM186" s="7"/>
      <c r="WTN186" s="7"/>
      <c r="WTO186" s="7"/>
      <c r="WTP186" s="7"/>
      <c r="WTQ186" s="7"/>
      <c r="WTR186" s="7"/>
      <c r="WTS186" s="7"/>
      <c r="WTT186" s="7"/>
      <c r="WTU186" s="7"/>
      <c r="WTV186" s="7"/>
      <c r="WTW186" s="7"/>
      <c r="WTX186" s="7"/>
      <c r="WTY186" s="7"/>
      <c r="WTZ186" s="7"/>
      <c r="WUA186" s="7"/>
      <c r="WUB186" s="7"/>
      <c r="WUC186" s="7"/>
      <c r="WUD186" s="7"/>
      <c r="WUE186" s="7"/>
      <c r="WUF186" s="7"/>
      <c r="WUG186" s="7"/>
      <c r="WUH186" s="7"/>
      <c r="WUI186" s="7"/>
      <c r="WUJ186" s="7"/>
      <c r="WUK186" s="7"/>
      <c r="WUL186" s="7"/>
      <c r="WUM186" s="7"/>
      <c r="WUN186" s="7"/>
      <c r="WUO186" s="7"/>
      <c r="WUP186" s="7"/>
      <c r="WUQ186" s="7"/>
      <c r="WUR186" s="7"/>
      <c r="WUS186" s="7"/>
      <c r="WUT186" s="7"/>
      <c r="WUU186" s="7"/>
      <c r="WUV186" s="7"/>
      <c r="WUW186" s="7"/>
      <c r="WUX186" s="7"/>
      <c r="WUY186" s="7"/>
      <c r="WUZ186" s="7"/>
      <c r="WVA186" s="7"/>
      <c r="WVB186" s="7"/>
      <c r="WVC186" s="7"/>
      <c r="WVD186" s="7"/>
      <c r="WVE186" s="7"/>
      <c r="WVF186" s="7"/>
      <c r="WVG186" s="7"/>
      <c r="WVH186" s="7"/>
      <c r="WVI186" s="7"/>
      <c r="WVJ186" s="7"/>
      <c r="WVK186" s="7"/>
      <c r="WVL186" s="7"/>
      <c r="WVM186" s="7"/>
      <c r="WVN186" s="7"/>
      <c r="WVO186" s="7"/>
      <c r="WVP186" s="7"/>
      <c r="WVQ186" s="7"/>
      <c r="WVR186" s="7"/>
      <c r="WVS186" s="7"/>
      <c r="WVT186" s="7"/>
      <c r="WVU186" s="7"/>
      <c r="WVV186" s="7"/>
      <c r="WVW186" s="7"/>
      <c r="WVX186" s="7"/>
      <c r="WVY186" s="7"/>
      <c r="WVZ186" s="7"/>
      <c r="WWA186" s="7"/>
      <c r="WWB186" s="7"/>
      <c r="WWC186" s="7"/>
      <c r="WWD186" s="7"/>
      <c r="WWE186" s="7"/>
      <c r="WWF186" s="7"/>
      <c r="WWG186" s="7"/>
      <c r="WWH186" s="7"/>
      <c r="WWI186" s="7"/>
      <c r="WWJ186" s="7"/>
      <c r="WWK186" s="7"/>
      <c r="WWL186" s="7"/>
      <c r="WWM186" s="7"/>
      <c r="WWN186" s="7"/>
      <c r="WWO186" s="7"/>
      <c r="WWP186" s="7"/>
      <c r="WWQ186" s="7"/>
      <c r="WWR186" s="7"/>
      <c r="WWS186" s="7"/>
      <c r="WWT186" s="7"/>
      <c r="WWU186" s="7"/>
      <c r="WWV186" s="7"/>
      <c r="WWW186" s="7"/>
      <c r="WWX186" s="7"/>
      <c r="WWY186" s="7"/>
      <c r="WWZ186" s="7"/>
      <c r="WXA186" s="7"/>
      <c r="WXB186" s="7"/>
      <c r="WXC186" s="7"/>
      <c r="WXD186" s="7"/>
      <c r="WXE186" s="7"/>
      <c r="WXF186" s="7"/>
      <c r="WXG186" s="7"/>
      <c r="WXH186" s="7"/>
      <c r="WXI186" s="7"/>
      <c r="WXJ186" s="7"/>
      <c r="WXK186" s="7"/>
      <c r="WXL186" s="7"/>
      <c r="WXM186" s="7"/>
      <c r="WXN186" s="7"/>
      <c r="WXO186" s="7"/>
      <c r="WXP186" s="7"/>
      <c r="WXQ186" s="7"/>
      <c r="WXR186" s="7"/>
      <c r="WXS186" s="7"/>
      <c r="WXT186" s="7"/>
      <c r="WXU186" s="7"/>
      <c r="WXV186" s="7"/>
      <c r="WXW186" s="7"/>
      <c r="WXX186" s="7"/>
      <c r="WXY186" s="7"/>
      <c r="WXZ186" s="7"/>
      <c r="WYA186" s="7"/>
      <c r="WYB186" s="7"/>
      <c r="WYC186" s="7"/>
      <c r="WYD186" s="7"/>
      <c r="WYE186" s="7"/>
      <c r="WYF186" s="7"/>
      <c r="WYG186" s="7"/>
      <c r="WYH186" s="7"/>
      <c r="WYI186" s="7"/>
      <c r="WYJ186" s="7"/>
      <c r="WYK186" s="7"/>
      <c r="WYL186" s="7"/>
      <c r="WYM186" s="7"/>
      <c r="WYN186" s="7"/>
      <c r="WYO186" s="7"/>
      <c r="WYP186" s="7"/>
      <c r="WYQ186" s="7"/>
      <c r="WYR186" s="7"/>
      <c r="WYS186" s="7"/>
      <c r="WYT186" s="7"/>
      <c r="WYU186" s="7"/>
      <c r="WYV186" s="7"/>
      <c r="WYW186" s="7"/>
      <c r="WYX186" s="7"/>
      <c r="WYY186" s="7"/>
      <c r="WYZ186" s="7"/>
      <c r="WZA186" s="7"/>
      <c r="WZB186" s="7"/>
      <c r="WZC186" s="7"/>
      <c r="WZD186" s="7"/>
      <c r="WZE186" s="7"/>
      <c r="WZF186" s="7"/>
      <c r="WZG186" s="7"/>
      <c r="WZH186" s="7"/>
      <c r="WZI186" s="7"/>
      <c r="WZJ186" s="7"/>
      <c r="WZK186" s="7"/>
      <c r="WZL186" s="7"/>
      <c r="WZM186" s="7"/>
      <c r="WZN186" s="7"/>
      <c r="WZO186" s="7"/>
      <c r="WZP186" s="7"/>
      <c r="WZQ186" s="7"/>
      <c r="WZR186" s="7"/>
      <c r="WZS186" s="7"/>
      <c r="WZT186" s="7"/>
      <c r="WZU186" s="7"/>
      <c r="WZV186" s="7"/>
      <c r="WZW186" s="7"/>
      <c r="WZX186" s="7"/>
      <c r="WZY186" s="7"/>
      <c r="WZZ186" s="7"/>
      <c r="XAA186" s="7"/>
      <c r="XAB186" s="7"/>
      <c r="XAC186" s="7"/>
      <c r="XAD186" s="7"/>
      <c r="XAE186" s="7"/>
      <c r="XAF186" s="7"/>
      <c r="XAG186" s="7"/>
      <c r="XAH186" s="7"/>
      <c r="XAI186" s="7"/>
      <c r="XAJ186" s="7"/>
      <c r="XAK186" s="7"/>
      <c r="XAL186" s="7"/>
      <c r="XAM186" s="7"/>
      <c r="XAN186" s="7"/>
      <c r="XAO186" s="7"/>
      <c r="XAP186" s="7"/>
      <c r="XAQ186" s="7"/>
      <c r="XAR186" s="7"/>
      <c r="XAS186" s="7"/>
      <c r="XAT186" s="7"/>
      <c r="XAU186" s="7"/>
      <c r="XAV186" s="7"/>
      <c r="XAW186" s="7"/>
      <c r="XAX186" s="7"/>
      <c r="XAY186" s="7"/>
      <c r="XAZ186" s="7"/>
      <c r="XBA186" s="7"/>
      <c r="XBB186" s="7"/>
      <c r="XBC186" s="7"/>
      <c r="XBD186" s="7"/>
      <c r="XBE186" s="7"/>
      <c r="XBF186" s="7"/>
      <c r="XBG186" s="7"/>
      <c r="XBH186" s="7"/>
      <c r="XBI186" s="7"/>
      <c r="XBJ186" s="7"/>
      <c r="XBK186" s="7"/>
      <c r="XBL186" s="7"/>
      <c r="XBM186" s="7"/>
      <c r="XBN186" s="7"/>
      <c r="XBO186" s="7"/>
      <c r="XBP186" s="7"/>
      <c r="XBQ186" s="7"/>
      <c r="XBR186" s="7"/>
      <c r="XBS186" s="7"/>
      <c r="XBT186" s="7"/>
      <c r="XBU186" s="7"/>
      <c r="XBV186" s="7"/>
      <c r="XBW186" s="7"/>
      <c r="XBX186" s="7"/>
      <c r="XBY186" s="7"/>
      <c r="XBZ186" s="7"/>
      <c r="XCA186" s="7"/>
      <c r="XCB186" s="7"/>
      <c r="XCC186" s="7"/>
      <c r="XCD186" s="7"/>
      <c r="XCE186" s="7"/>
      <c r="XCF186" s="7"/>
      <c r="XCG186" s="7"/>
      <c r="XCH186" s="7"/>
      <c r="XCI186" s="7"/>
      <c r="XCJ186" s="7"/>
      <c r="XCK186" s="7"/>
      <c r="XCL186" s="7"/>
      <c r="XCM186" s="7"/>
      <c r="XCN186" s="7"/>
      <c r="XCO186" s="7"/>
      <c r="XCP186" s="7"/>
      <c r="XCQ186" s="7"/>
      <c r="XCR186" s="7"/>
      <c r="XCS186" s="7"/>
      <c r="XCT186" s="7"/>
      <c r="XCU186" s="7"/>
      <c r="XCV186" s="7"/>
      <c r="XCW186" s="7"/>
      <c r="XCX186" s="7"/>
      <c r="XCY186" s="7"/>
      <c r="XCZ186" s="7"/>
      <c r="XDA186" s="7"/>
      <c r="XDB186" s="7"/>
      <c r="XDC186" s="7"/>
      <c r="XDD186" s="7"/>
      <c r="XDE186" s="7"/>
      <c r="XDF186" s="7"/>
      <c r="XDG186" s="7"/>
      <c r="XDH186" s="7"/>
      <c r="XDI186" s="7"/>
      <c r="XDJ186" s="7"/>
      <c r="XDK186" s="7"/>
      <c r="XDL186" s="7"/>
      <c r="XDM186" s="7"/>
      <c r="XDN186" s="7"/>
      <c r="XDO186" s="7"/>
      <c r="XDP186" s="7"/>
      <c r="XDQ186" s="7"/>
      <c r="XDR186" s="7"/>
      <c r="XDS186" s="7"/>
      <c r="XDT186" s="7"/>
      <c r="XDU186" s="7"/>
      <c r="XDV186" s="7"/>
      <c r="XDW186" s="7"/>
      <c r="XDX186" s="7"/>
      <c r="XDY186" s="7"/>
      <c r="XDZ186" s="7"/>
      <c r="XEA186" s="7"/>
      <c r="XEB186" s="7"/>
      <c r="XEC186" s="7"/>
      <c r="XED186" s="7"/>
      <c r="XEE186" s="7"/>
      <c r="XEF186" s="7"/>
      <c r="XEG186" s="7"/>
      <c r="XEH186" s="7"/>
      <c r="XEI186" s="7"/>
      <c r="XEJ186" s="7"/>
      <c r="XEK186" s="7"/>
      <c r="XEL186" s="7"/>
      <c r="XEM186" s="7"/>
      <c r="XEN186" s="7"/>
      <c r="XEO186" s="7"/>
      <c r="XEP186" s="7"/>
      <c r="XEQ186" s="7"/>
      <c r="XER186" s="7"/>
      <c r="XES186" s="7"/>
      <c r="XET186" s="7"/>
      <c r="XEU186" s="7"/>
      <c r="XEV186" s="7"/>
      <c r="XEW186" s="7"/>
      <c r="XEX186" s="7"/>
      <c r="XEY186" s="7"/>
      <c r="XEZ186" s="7"/>
      <c r="XFA186" s="7"/>
      <c r="XFB186" s="7"/>
    </row>
    <row r="187" spans="1:16382" s="7" customFormat="1" ht="12.75" customHeight="1" x14ac:dyDescent="0.2">
      <c r="A187" s="184" t="s">
        <v>94</v>
      </c>
      <c r="B187" s="185">
        <v>16</v>
      </c>
      <c r="C187" s="186" t="s">
        <v>314</v>
      </c>
      <c r="D187" s="186" t="s">
        <v>765</v>
      </c>
      <c r="E187" s="187"/>
      <c r="F187" s="187">
        <f>144000000-94000000</f>
        <v>50000000</v>
      </c>
      <c r="G187" s="187"/>
      <c r="H187" s="188" t="s">
        <v>710</v>
      </c>
      <c r="I187" s="189" t="s">
        <v>308</v>
      </c>
      <c r="J187" s="206">
        <v>2</v>
      </c>
      <c r="K187" s="206">
        <v>3</v>
      </c>
      <c r="L187" s="206">
        <v>9</v>
      </c>
      <c r="M187" s="185">
        <f t="shared" si="50"/>
        <v>1</v>
      </c>
      <c r="N187" s="193" t="s">
        <v>221</v>
      </c>
      <c r="O187" s="194" t="s">
        <v>903</v>
      </c>
      <c r="P187" s="195">
        <f t="shared" si="51"/>
        <v>1</v>
      </c>
      <c r="Q187" s="196">
        <f t="shared" si="56"/>
        <v>50000000</v>
      </c>
      <c r="R187" s="196">
        <f t="shared" si="57"/>
        <v>50000000</v>
      </c>
      <c r="S187" s="197" t="s">
        <v>217</v>
      </c>
      <c r="T187" s="193">
        <f t="shared" si="52"/>
        <v>0</v>
      </c>
      <c r="U187" s="198" t="str">
        <f t="shared" si="53"/>
        <v>SUBDIRECCION DE GESTION CONTRACTUAL</v>
      </c>
      <c r="V187" s="185" t="str">
        <f t="shared" si="54"/>
        <v>CO-DC</v>
      </c>
      <c r="W187" s="198" t="str">
        <f t="shared" si="55"/>
        <v>Distrito Capital de Bogotá</v>
      </c>
      <c r="X187" s="199" t="s">
        <v>586</v>
      </c>
      <c r="Y187" s="185">
        <v>2427400</v>
      </c>
      <c r="Z187" s="200" t="s">
        <v>96</v>
      </c>
    </row>
    <row r="188" spans="1:16382" s="7" customFormat="1" ht="12.75" customHeight="1" x14ac:dyDescent="0.2">
      <c r="A188" s="184" t="s">
        <v>94</v>
      </c>
      <c r="B188" s="185">
        <v>17</v>
      </c>
      <c r="C188" s="186" t="s">
        <v>314</v>
      </c>
      <c r="D188" s="186" t="s">
        <v>765</v>
      </c>
      <c r="E188" s="187"/>
      <c r="F188" s="187">
        <v>50000000</v>
      </c>
      <c r="G188" s="187"/>
      <c r="H188" s="188" t="s">
        <v>225</v>
      </c>
      <c r="I188" s="189" t="s">
        <v>987</v>
      </c>
      <c r="J188" s="190">
        <v>7</v>
      </c>
      <c r="K188" s="190">
        <v>9</v>
      </c>
      <c r="L188" s="192">
        <v>3</v>
      </c>
      <c r="M188" s="185">
        <f t="shared" si="50"/>
        <v>1</v>
      </c>
      <c r="N188" s="193" t="s">
        <v>61</v>
      </c>
      <c r="O188" s="259" t="str">
        <f>IF(ISBLANK(N188),"",VLOOKUP(N188,[1]Parámetros!$G$2:$H$23,2,FALSE))</f>
        <v>Contratación régimen especial - Selección de comisionista</v>
      </c>
      <c r="P188" s="195">
        <f t="shared" si="51"/>
        <v>1</v>
      </c>
      <c r="Q188" s="196">
        <f t="shared" si="56"/>
        <v>50000000</v>
      </c>
      <c r="R188" s="196">
        <f t="shared" si="57"/>
        <v>50000000</v>
      </c>
      <c r="S188" s="197" t="s">
        <v>217</v>
      </c>
      <c r="T188" s="193">
        <f t="shared" si="52"/>
        <v>0</v>
      </c>
      <c r="U188" s="198" t="str">
        <f t="shared" si="53"/>
        <v>SUBDIRECCION DE GESTION CONTRACTUAL</v>
      </c>
      <c r="V188" s="185" t="str">
        <f t="shared" si="54"/>
        <v>CO-DC</v>
      </c>
      <c r="W188" s="198" t="str">
        <f t="shared" si="55"/>
        <v>Distrito Capital de Bogotá</v>
      </c>
      <c r="X188" s="199" t="s">
        <v>897</v>
      </c>
      <c r="Y188" s="185">
        <v>2427400</v>
      </c>
      <c r="Z188" s="200" t="s">
        <v>885</v>
      </c>
    </row>
    <row r="189" spans="1:16382" s="7" customFormat="1" ht="12.75" customHeight="1" x14ac:dyDescent="0.2">
      <c r="A189" s="184" t="s">
        <v>94</v>
      </c>
      <c r="B189" s="185">
        <v>18</v>
      </c>
      <c r="C189" s="186" t="s">
        <v>314</v>
      </c>
      <c r="D189" s="186" t="s">
        <v>765</v>
      </c>
      <c r="E189" s="187"/>
      <c r="F189" s="187">
        <v>15000000</v>
      </c>
      <c r="G189" s="187"/>
      <c r="H189" s="188" t="s">
        <v>51</v>
      </c>
      <c r="I189" s="189" t="s">
        <v>315</v>
      </c>
      <c r="J189" s="190">
        <v>4</v>
      </c>
      <c r="K189" s="191">
        <v>6</v>
      </c>
      <c r="L189" s="192">
        <v>1</v>
      </c>
      <c r="M189" s="185">
        <f t="shared" si="50"/>
        <v>1</v>
      </c>
      <c r="N189" s="193" t="s">
        <v>43</v>
      </c>
      <c r="O189" s="194" t="s">
        <v>44</v>
      </c>
      <c r="P189" s="195">
        <f t="shared" si="51"/>
        <v>1</v>
      </c>
      <c r="Q189" s="196">
        <f t="shared" si="56"/>
        <v>15000000</v>
      </c>
      <c r="R189" s="196">
        <f t="shared" si="57"/>
        <v>15000000</v>
      </c>
      <c r="S189" s="197" t="s">
        <v>217</v>
      </c>
      <c r="T189" s="193">
        <f t="shared" si="52"/>
        <v>0</v>
      </c>
      <c r="U189" s="198" t="str">
        <f t="shared" si="53"/>
        <v>SUBDIRECCION DE GESTION CONTRACTUAL</v>
      </c>
      <c r="V189" s="185" t="str">
        <f t="shared" si="54"/>
        <v>CO-DC</v>
      </c>
      <c r="W189" s="198" t="str">
        <f t="shared" si="55"/>
        <v>Distrito Capital de Bogotá</v>
      </c>
      <c r="X189" s="199" t="s">
        <v>73</v>
      </c>
      <c r="Y189" s="185">
        <v>2427400</v>
      </c>
      <c r="Z189" s="200" t="s">
        <v>74</v>
      </c>
    </row>
    <row r="190" spans="1:16382" s="7" customFormat="1" ht="12.75" customHeight="1" x14ac:dyDescent="0.2">
      <c r="A190" s="184" t="s">
        <v>94</v>
      </c>
      <c r="B190" s="185">
        <v>19</v>
      </c>
      <c r="C190" s="186" t="s">
        <v>314</v>
      </c>
      <c r="D190" s="186" t="s">
        <v>765</v>
      </c>
      <c r="E190" s="187"/>
      <c r="F190" s="187">
        <f>847246000-32700000-10000000-5000000-17300000</f>
        <v>782246000</v>
      </c>
      <c r="G190" s="187"/>
      <c r="H190" s="188" t="s">
        <v>311</v>
      </c>
      <c r="I190" s="189" t="s">
        <v>853</v>
      </c>
      <c r="J190" s="190">
        <v>5</v>
      </c>
      <c r="K190" s="190">
        <v>5</v>
      </c>
      <c r="L190" s="192">
        <v>7</v>
      </c>
      <c r="M190" s="185">
        <f t="shared" si="50"/>
        <v>1</v>
      </c>
      <c r="N190" s="193" t="s">
        <v>36</v>
      </c>
      <c r="O190" s="194" t="s">
        <v>256</v>
      </c>
      <c r="P190" s="195">
        <f t="shared" si="51"/>
        <v>1</v>
      </c>
      <c r="Q190" s="196">
        <f t="shared" si="56"/>
        <v>782246000</v>
      </c>
      <c r="R190" s="196">
        <f t="shared" si="57"/>
        <v>782246000</v>
      </c>
      <c r="S190" s="197" t="s">
        <v>217</v>
      </c>
      <c r="T190" s="193">
        <f t="shared" si="52"/>
        <v>0</v>
      </c>
      <c r="U190" s="198" t="str">
        <f t="shared" si="53"/>
        <v>SUBDIRECCION DE GESTION CONTRACTUAL</v>
      </c>
      <c r="V190" s="185" t="str">
        <f t="shared" si="54"/>
        <v>CO-DC</v>
      </c>
      <c r="W190" s="198" t="str">
        <f t="shared" si="55"/>
        <v>Distrito Capital de Bogotá</v>
      </c>
      <c r="X190" s="199" t="s">
        <v>586</v>
      </c>
      <c r="Y190" s="185">
        <v>2427400</v>
      </c>
      <c r="Z190" s="200" t="s">
        <v>96</v>
      </c>
    </row>
    <row r="191" spans="1:16382" s="7" customFormat="1" ht="12.75" customHeight="1" x14ac:dyDescent="0.2">
      <c r="A191" s="260" t="s">
        <v>94</v>
      </c>
      <c r="B191" s="239">
        <v>20</v>
      </c>
      <c r="C191" s="186" t="s">
        <v>314</v>
      </c>
      <c r="D191" s="186" t="s">
        <v>765</v>
      </c>
      <c r="E191" s="261"/>
      <c r="F191" s="187">
        <f>144000000-50000000</f>
        <v>94000000</v>
      </c>
      <c r="G191" s="261"/>
      <c r="H191" s="262" t="s">
        <v>710</v>
      </c>
      <c r="I191" s="189" t="s">
        <v>766</v>
      </c>
      <c r="J191" s="190">
        <v>2</v>
      </c>
      <c r="K191" s="191">
        <v>3</v>
      </c>
      <c r="L191" s="192">
        <v>9</v>
      </c>
      <c r="M191" s="263">
        <f t="shared" si="50"/>
        <v>1</v>
      </c>
      <c r="N191" s="239" t="s">
        <v>221</v>
      </c>
      <c r="O191" s="259" t="s">
        <v>903</v>
      </c>
      <c r="P191" s="264">
        <f t="shared" si="51"/>
        <v>1</v>
      </c>
      <c r="Q191" s="196">
        <f>IF(VALUE(E191+F191+G191)=0,"",E191+F191+G191)</f>
        <v>94000000</v>
      </c>
      <c r="R191" s="196">
        <f>IF(VALUE(F191)=0,"",F191)</f>
        <v>94000000</v>
      </c>
      <c r="S191" s="265" t="s">
        <v>217</v>
      </c>
      <c r="T191" s="266">
        <f t="shared" si="52"/>
        <v>0</v>
      </c>
      <c r="U191" s="267" t="str">
        <f t="shared" si="53"/>
        <v>SUBDIRECCION DE GESTION CONTRACTUAL</v>
      </c>
      <c r="V191" s="266" t="str">
        <f t="shared" si="54"/>
        <v>CO-DC</v>
      </c>
      <c r="W191" s="267" t="str">
        <f t="shared" si="55"/>
        <v>Distrito Capital de Bogotá</v>
      </c>
      <c r="X191" s="247" t="s">
        <v>586</v>
      </c>
      <c r="Y191" s="239">
        <v>2427400</v>
      </c>
      <c r="Z191" s="248" t="s">
        <v>96</v>
      </c>
    </row>
    <row r="192" spans="1:16382" s="7" customFormat="1" ht="12.75" customHeight="1" x14ac:dyDescent="0.25">
      <c r="A192" s="184" t="s">
        <v>94</v>
      </c>
      <c r="B192" s="185">
        <v>21</v>
      </c>
      <c r="C192" s="186" t="s">
        <v>782</v>
      </c>
      <c r="D192" s="186" t="s">
        <v>765</v>
      </c>
      <c r="E192" s="187"/>
      <c r="F192" s="187">
        <v>100000000</v>
      </c>
      <c r="G192" s="189"/>
      <c r="H192" s="262">
        <v>80111600</v>
      </c>
      <c r="I192" s="189" t="s">
        <v>305</v>
      </c>
      <c r="J192" s="192">
        <v>3</v>
      </c>
      <c r="K192" s="185">
        <v>4</v>
      </c>
      <c r="L192" s="193">
        <v>8</v>
      </c>
      <c r="M192" s="195">
        <f t="shared" ref="M192:M223" si="58">IF(ISBLANK(J192),"",1)</f>
        <v>1</v>
      </c>
      <c r="N192" s="195" t="s">
        <v>210</v>
      </c>
      <c r="O192" s="253" t="s">
        <v>264</v>
      </c>
      <c r="P192" s="254">
        <f t="shared" ref="P192:P223" si="59">IF(ISBLANK(N192),"",1)</f>
        <v>1</v>
      </c>
      <c r="Q192" s="196">
        <f>IF(VALUE(E192+F192+G192)=0,"",E192+F192+G192)</f>
        <v>100000000</v>
      </c>
      <c r="R192" s="196">
        <f>IF(VALUE(F192)=0,"",F192)</f>
        <v>100000000</v>
      </c>
      <c r="S192" s="185">
        <v>0</v>
      </c>
      <c r="T192" s="185">
        <f t="shared" ref="T192:T223" si="60">IF(ISBLANK(S192),"",IF(VALUE(S192)=0,0,IF(VALUE(S192)=1,3,"")))</f>
        <v>0</v>
      </c>
      <c r="U192" s="198" t="str">
        <f t="shared" ref="U192:U223" si="61">IF(ISBLANK(N192),"","SUBDIRECCION DE GESTION CONTRACTUAL")</f>
        <v>SUBDIRECCION DE GESTION CONTRACTUAL</v>
      </c>
      <c r="V192" s="185" t="str">
        <f t="shared" ref="V192:V223" si="62">IF(ISBLANK(N192),"","CO-DC")</f>
        <v>CO-DC</v>
      </c>
      <c r="W192" s="185" t="str">
        <f t="shared" ref="W192:W223" si="63">IF(ISBLANK(N192),"","Distrito Capital de Bogotá")</f>
        <v>Distrito Capital de Bogotá</v>
      </c>
      <c r="X192" s="199" t="s">
        <v>586</v>
      </c>
      <c r="Y192" s="185">
        <v>2427400</v>
      </c>
      <c r="Z192" s="125" t="s">
        <v>96</v>
      </c>
    </row>
    <row r="193" spans="1:26" s="7" customFormat="1" ht="12.75" customHeight="1" x14ac:dyDescent="0.2">
      <c r="A193" s="184" t="s">
        <v>83</v>
      </c>
      <c r="B193" s="185">
        <v>1</v>
      </c>
      <c r="C193" s="186" t="s">
        <v>90</v>
      </c>
      <c r="D193" s="186" t="s">
        <v>88</v>
      </c>
      <c r="E193" s="187"/>
      <c r="F193" s="187">
        <v>2930922041</v>
      </c>
      <c r="G193" s="187"/>
      <c r="H193" s="188">
        <v>80111600</v>
      </c>
      <c r="I193" s="189" t="s">
        <v>316</v>
      </c>
      <c r="J193" s="190">
        <v>1</v>
      </c>
      <c r="K193" s="191">
        <v>1</v>
      </c>
      <c r="L193" s="192">
        <v>12</v>
      </c>
      <c r="M193" s="185">
        <f t="shared" si="58"/>
        <v>1</v>
      </c>
      <c r="N193" s="193" t="s">
        <v>210</v>
      </c>
      <c r="O193" s="194" t="s">
        <v>264</v>
      </c>
      <c r="P193" s="195">
        <f t="shared" si="59"/>
        <v>1</v>
      </c>
      <c r="Q193" s="196">
        <f t="shared" ref="Q193:Q224" si="64">+E193+F193+G193</f>
        <v>2930922041</v>
      </c>
      <c r="R193" s="196">
        <f t="shared" ref="R193:R224" si="65">+F193</f>
        <v>2930922041</v>
      </c>
      <c r="S193" s="197" t="s">
        <v>217</v>
      </c>
      <c r="T193" s="193">
        <f t="shared" si="60"/>
        <v>0</v>
      </c>
      <c r="U193" s="198" t="str">
        <f t="shared" si="61"/>
        <v>SUBDIRECCION DE GESTION CONTRACTUAL</v>
      </c>
      <c r="V193" s="185" t="str">
        <f t="shared" si="62"/>
        <v>CO-DC</v>
      </c>
      <c r="W193" s="198" t="str">
        <f t="shared" si="63"/>
        <v>Distrito Capital de Bogotá</v>
      </c>
      <c r="X193" s="199" t="s">
        <v>589</v>
      </c>
      <c r="Y193" s="185">
        <v>2427400</v>
      </c>
      <c r="Z193" s="200" t="s">
        <v>86</v>
      </c>
    </row>
    <row r="194" spans="1:26" s="7" customFormat="1" ht="12.75" customHeight="1" x14ac:dyDescent="0.2">
      <c r="A194" s="184" t="s">
        <v>83</v>
      </c>
      <c r="B194" s="185">
        <v>2</v>
      </c>
      <c r="C194" s="186" t="s">
        <v>317</v>
      </c>
      <c r="D194" s="186" t="s">
        <v>88</v>
      </c>
      <c r="E194" s="187"/>
      <c r="F194" s="187">
        <v>1002214917</v>
      </c>
      <c r="G194" s="187"/>
      <c r="H194" s="188">
        <v>80111600</v>
      </c>
      <c r="I194" s="189" t="s">
        <v>316</v>
      </c>
      <c r="J194" s="190">
        <v>1</v>
      </c>
      <c r="K194" s="191">
        <v>1</v>
      </c>
      <c r="L194" s="192">
        <v>12</v>
      </c>
      <c r="M194" s="185">
        <f t="shared" si="58"/>
        <v>1</v>
      </c>
      <c r="N194" s="193" t="s">
        <v>210</v>
      </c>
      <c r="O194" s="194" t="s">
        <v>264</v>
      </c>
      <c r="P194" s="195">
        <f t="shared" si="59"/>
        <v>1</v>
      </c>
      <c r="Q194" s="196">
        <f t="shared" si="64"/>
        <v>1002214917</v>
      </c>
      <c r="R194" s="196">
        <f t="shared" si="65"/>
        <v>1002214917</v>
      </c>
      <c r="S194" s="197" t="s">
        <v>217</v>
      </c>
      <c r="T194" s="193">
        <f t="shared" si="60"/>
        <v>0</v>
      </c>
      <c r="U194" s="198" t="str">
        <f t="shared" si="61"/>
        <v>SUBDIRECCION DE GESTION CONTRACTUAL</v>
      </c>
      <c r="V194" s="185" t="str">
        <f t="shared" si="62"/>
        <v>CO-DC</v>
      </c>
      <c r="W194" s="198" t="str">
        <f t="shared" si="63"/>
        <v>Distrito Capital de Bogotá</v>
      </c>
      <c r="X194" s="199" t="s">
        <v>589</v>
      </c>
      <c r="Y194" s="185">
        <v>2427400</v>
      </c>
      <c r="Z194" s="200" t="s">
        <v>86</v>
      </c>
    </row>
    <row r="195" spans="1:26" s="7" customFormat="1" ht="12.75" customHeight="1" x14ac:dyDescent="0.2">
      <c r="A195" s="184" t="s">
        <v>83</v>
      </c>
      <c r="B195" s="185">
        <v>3</v>
      </c>
      <c r="C195" s="186" t="s">
        <v>318</v>
      </c>
      <c r="D195" s="186" t="s">
        <v>88</v>
      </c>
      <c r="E195" s="187"/>
      <c r="F195" s="187">
        <v>377068280</v>
      </c>
      <c r="G195" s="187"/>
      <c r="H195" s="188">
        <v>80111600</v>
      </c>
      <c r="I195" s="189" t="s">
        <v>316</v>
      </c>
      <c r="J195" s="190">
        <v>1</v>
      </c>
      <c r="K195" s="191">
        <v>1</v>
      </c>
      <c r="L195" s="192">
        <v>12</v>
      </c>
      <c r="M195" s="185">
        <f t="shared" si="58"/>
        <v>1</v>
      </c>
      <c r="N195" s="193" t="s">
        <v>210</v>
      </c>
      <c r="O195" s="194" t="s">
        <v>264</v>
      </c>
      <c r="P195" s="195">
        <f t="shared" si="59"/>
        <v>1</v>
      </c>
      <c r="Q195" s="196">
        <f t="shared" si="64"/>
        <v>377068280</v>
      </c>
      <c r="R195" s="196">
        <f t="shared" si="65"/>
        <v>377068280</v>
      </c>
      <c r="S195" s="197" t="s">
        <v>217</v>
      </c>
      <c r="T195" s="193">
        <f t="shared" si="60"/>
        <v>0</v>
      </c>
      <c r="U195" s="198" t="str">
        <f t="shared" si="61"/>
        <v>SUBDIRECCION DE GESTION CONTRACTUAL</v>
      </c>
      <c r="V195" s="185" t="str">
        <f t="shared" si="62"/>
        <v>CO-DC</v>
      </c>
      <c r="W195" s="198" t="str">
        <f t="shared" si="63"/>
        <v>Distrito Capital de Bogotá</v>
      </c>
      <c r="X195" s="199" t="s">
        <v>589</v>
      </c>
      <c r="Y195" s="185">
        <v>2427400</v>
      </c>
      <c r="Z195" s="200" t="s">
        <v>86</v>
      </c>
    </row>
    <row r="196" spans="1:26" s="7" customFormat="1" ht="12.75" customHeight="1" x14ac:dyDescent="0.2">
      <c r="A196" s="184" t="s">
        <v>83</v>
      </c>
      <c r="B196" s="185">
        <f t="shared" ref="B196:B227" si="66">+B195+1</f>
        <v>4</v>
      </c>
      <c r="C196" s="186" t="s">
        <v>90</v>
      </c>
      <c r="D196" s="186" t="s">
        <v>88</v>
      </c>
      <c r="E196" s="187"/>
      <c r="F196" s="187">
        <f>6775505000+325175000</f>
        <v>7100680000</v>
      </c>
      <c r="G196" s="187"/>
      <c r="H196" s="188" t="s">
        <v>710</v>
      </c>
      <c r="I196" s="189" t="s">
        <v>319</v>
      </c>
      <c r="J196" s="190">
        <v>2</v>
      </c>
      <c r="K196" s="268">
        <v>3</v>
      </c>
      <c r="L196" s="192">
        <v>9</v>
      </c>
      <c r="M196" s="185">
        <f t="shared" si="58"/>
        <v>1</v>
      </c>
      <c r="N196" s="193" t="s">
        <v>221</v>
      </c>
      <c r="O196" s="194" t="s">
        <v>903</v>
      </c>
      <c r="P196" s="195">
        <f t="shared" si="59"/>
        <v>1</v>
      </c>
      <c r="Q196" s="196">
        <f t="shared" si="64"/>
        <v>7100680000</v>
      </c>
      <c r="R196" s="196">
        <f t="shared" si="65"/>
        <v>7100680000</v>
      </c>
      <c r="S196" s="197" t="s">
        <v>217</v>
      </c>
      <c r="T196" s="193">
        <f t="shared" si="60"/>
        <v>0</v>
      </c>
      <c r="U196" s="198" t="str">
        <f t="shared" si="61"/>
        <v>SUBDIRECCION DE GESTION CONTRACTUAL</v>
      </c>
      <c r="V196" s="185" t="str">
        <f t="shared" si="62"/>
        <v>CO-DC</v>
      </c>
      <c r="W196" s="198" t="str">
        <f t="shared" si="63"/>
        <v>Distrito Capital de Bogotá</v>
      </c>
      <c r="X196" s="199" t="s">
        <v>589</v>
      </c>
      <c r="Y196" s="185">
        <v>2427400</v>
      </c>
      <c r="Z196" s="200" t="s">
        <v>86</v>
      </c>
    </row>
    <row r="197" spans="1:26" s="7" customFormat="1" ht="12.75" customHeight="1" x14ac:dyDescent="0.2">
      <c r="A197" s="184" t="s">
        <v>83</v>
      </c>
      <c r="B197" s="185">
        <f t="shared" si="66"/>
        <v>5</v>
      </c>
      <c r="C197" s="186" t="s">
        <v>317</v>
      </c>
      <c r="D197" s="186" t="s">
        <v>88</v>
      </c>
      <c r="E197" s="187"/>
      <c r="F197" s="187">
        <f>3133047492+96000000</f>
        <v>3229047492</v>
      </c>
      <c r="G197" s="187"/>
      <c r="H197" s="188" t="s">
        <v>710</v>
      </c>
      <c r="I197" s="189" t="s">
        <v>319</v>
      </c>
      <c r="J197" s="190">
        <v>2</v>
      </c>
      <c r="K197" s="268">
        <v>3</v>
      </c>
      <c r="L197" s="192">
        <v>9</v>
      </c>
      <c r="M197" s="185">
        <f t="shared" si="58"/>
        <v>1</v>
      </c>
      <c r="N197" s="193" t="s">
        <v>221</v>
      </c>
      <c r="O197" s="194" t="s">
        <v>903</v>
      </c>
      <c r="P197" s="195">
        <f t="shared" si="59"/>
        <v>1</v>
      </c>
      <c r="Q197" s="196">
        <f t="shared" si="64"/>
        <v>3229047492</v>
      </c>
      <c r="R197" s="196">
        <f t="shared" si="65"/>
        <v>3229047492</v>
      </c>
      <c r="S197" s="197" t="s">
        <v>217</v>
      </c>
      <c r="T197" s="193">
        <f t="shared" si="60"/>
        <v>0</v>
      </c>
      <c r="U197" s="198" t="str">
        <f t="shared" si="61"/>
        <v>SUBDIRECCION DE GESTION CONTRACTUAL</v>
      </c>
      <c r="V197" s="185" t="str">
        <f t="shared" si="62"/>
        <v>CO-DC</v>
      </c>
      <c r="W197" s="198" t="str">
        <f t="shared" si="63"/>
        <v>Distrito Capital de Bogotá</v>
      </c>
      <c r="X197" s="199" t="s">
        <v>589</v>
      </c>
      <c r="Y197" s="185">
        <v>2427400</v>
      </c>
      <c r="Z197" s="200" t="s">
        <v>86</v>
      </c>
    </row>
    <row r="198" spans="1:26" s="7" customFormat="1" ht="12.75" customHeight="1" x14ac:dyDescent="0.2">
      <c r="A198" s="184" t="s">
        <v>83</v>
      </c>
      <c r="B198" s="185">
        <f t="shared" si="66"/>
        <v>6</v>
      </c>
      <c r="C198" s="186" t="s">
        <v>318</v>
      </c>
      <c r="D198" s="186" t="s">
        <v>88</v>
      </c>
      <c r="E198" s="187"/>
      <c r="F198" s="187">
        <f>77250000+865200000+77250000</f>
        <v>1019700000</v>
      </c>
      <c r="G198" s="187"/>
      <c r="H198" s="188" t="s">
        <v>710</v>
      </c>
      <c r="I198" s="189" t="s">
        <v>319</v>
      </c>
      <c r="J198" s="190">
        <v>2</v>
      </c>
      <c r="K198" s="191">
        <v>3</v>
      </c>
      <c r="L198" s="192">
        <v>9</v>
      </c>
      <c r="M198" s="185">
        <f t="shared" si="58"/>
        <v>1</v>
      </c>
      <c r="N198" s="193" t="s">
        <v>221</v>
      </c>
      <c r="O198" s="194" t="s">
        <v>903</v>
      </c>
      <c r="P198" s="195">
        <f t="shared" si="59"/>
        <v>1</v>
      </c>
      <c r="Q198" s="196">
        <f t="shared" si="64"/>
        <v>1019700000</v>
      </c>
      <c r="R198" s="196">
        <f t="shared" si="65"/>
        <v>1019700000</v>
      </c>
      <c r="S198" s="197" t="s">
        <v>217</v>
      </c>
      <c r="T198" s="193">
        <f t="shared" si="60"/>
        <v>0</v>
      </c>
      <c r="U198" s="198" t="str">
        <f t="shared" si="61"/>
        <v>SUBDIRECCION DE GESTION CONTRACTUAL</v>
      </c>
      <c r="V198" s="185" t="str">
        <f t="shared" si="62"/>
        <v>CO-DC</v>
      </c>
      <c r="W198" s="198" t="str">
        <f t="shared" si="63"/>
        <v>Distrito Capital de Bogotá</v>
      </c>
      <c r="X198" s="199" t="s">
        <v>589</v>
      </c>
      <c r="Y198" s="185">
        <v>2427400</v>
      </c>
      <c r="Z198" s="200" t="s">
        <v>86</v>
      </c>
    </row>
    <row r="199" spans="1:26" s="7" customFormat="1" ht="12.75" customHeight="1" x14ac:dyDescent="0.2">
      <c r="A199" s="184" t="s">
        <v>83</v>
      </c>
      <c r="B199" s="185">
        <f t="shared" si="66"/>
        <v>7</v>
      </c>
      <c r="C199" s="186" t="s">
        <v>90</v>
      </c>
      <c r="D199" s="186" t="s">
        <v>88</v>
      </c>
      <c r="E199" s="187"/>
      <c r="F199" s="187">
        <v>451170000</v>
      </c>
      <c r="G199" s="187"/>
      <c r="H199" s="188" t="s">
        <v>42</v>
      </c>
      <c r="I199" s="189" t="s">
        <v>320</v>
      </c>
      <c r="J199" s="190">
        <v>3</v>
      </c>
      <c r="K199" s="191">
        <v>4</v>
      </c>
      <c r="L199" s="192">
        <v>9</v>
      </c>
      <c r="M199" s="185">
        <f t="shared" si="58"/>
        <v>1</v>
      </c>
      <c r="N199" s="193" t="s">
        <v>61</v>
      </c>
      <c r="O199" s="194" t="s">
        <v>902</v>
      </c>
      <c r="P199" s="195">
        <f t="shared" si="59"/>
        <v>1</v>
      </c>
      <c r="Q199" s="196">
        <f t="shared" si="64"/>
        <v>451170000</v>
      </c>
      <c r="R199" s="196">
        <f t="shared" si="65"/>
        <v>451170000</v>
      </c>
      <c r="S199" s="197" t="s">
        <v>217</v>
      </c>
      <c r="T199" s="193">
        <f t="shared" si="60"/>
        <v>0</v>
      </c>
      <c r="U199" s="198" t="str">
        <f t="shared" si="61"/>
        <v>SUBDIRECCION DE GESTION CONTRACTUAL</v>
      </c>
      <c r="V199" s="185" t="str">
        <f t="shared" si="62"/>
        <v>CO-DC</v>
      </c>
      <c r="W199" s="198" t="str">
        <f t="shared" si="63"/>
        <v>Distrito Capital de Bogotá</v>
      </c>
      <c r="X199" s="199" t="s">
        <v>321</v>
      </c>
      <c r="Y199" s="185">
        <v>2427400</v>
      </c>
      <c r="Z199" s="200" t="s">
        <v>75</v>
      </c>
    </row>
    <row r="200" spans="1:26" s="7" customFormat="1" ht="12.75" customHeight="1" x14ac:dyDescent="0.2">
      <c r="A200" s="184" t="s">
        <v>83</v>
      </c>
      <c r="B200" s="185">
        <f t="shared" si="66"/>
        <v>8</v>
      </c>
      <c r="C200" s="186" t="s">
        <v>317</v>
      </c>
      <c r="D200" s="186" t="s">
        <v>88</v>
      </c>
      <c r="E200" s="187"/>
      <c r="F200" s="187">
        <v>187110000</v>
      </c>
      <c r="G200" s="187"/>
      <c r="H200" s="188" t="s">
        <v>42</v>
      </c>
      <c r="I200" s="189" t="s">
        <v>320</v>
      </c>
      <c r="J200" s="190">
        <v>3</v>
      </c>
      <c r="K200" s="268">
        <v>4</v>
      </c>
      <c r="L200" s="192">
        <v>9</v>
      </c>
      <c r="M200" s="185">
        <f t="shared" si="58"/>
        <v>1</v>
      </c>
      <c r="N200" s="193" t="s">
        <v>61</v>
      </c>
      <c r="O200" s="194" t="s">
        <v>902</v>
      </c>
      <c r="P200" s="195">
        <f t="shared" si="59"/>
        <v>1</v>
      </c>
      <c r="Q200" s="196">
        <f t="shared" si="64"/>
        <v>187110000</v>
      </c>
      <c r="R200" s="196">
        <f t="shared" si="65"/>
        <v>187110000</v>
      </c>
      <c r="S200" s="197" t="s">
        <v>217</v>
      </c>
      <c r="T200" s="193">
        <f t="shared" si="60"/>
        <v>0</v>
      </c>
      <c r="U200" s="198" t="str">
        <f t="shared" si="61"/>
        <v>SUBDIRECCION DE GESTION CONTRACTUAL</v>
      </c>
      <c r="V200" s="185" t="str">
        <f t="shared" si="62"/>
        <v>CO-DC</v>
      </c>
      <c r="W200" s="198" t="str">
        <f t="shared" si="63"/>
        <v>Distrito Capital de Bogotá</v>
      </c>
      <c r="X200" s="199" t="s">
        <v>321</v>
      </c>
      <c r="Y200" s="185">
        <v>2427400</v>
      </c>
      <c r="Z200" s="200" t="s">
        <v>75</v>
      </c>
    </row>
    <row r="201" spans="1:26" s="7" customFormat="1" ht="12.75" customHeight="1" x14ac:dyDescent="0.2">
      <c r="A201" s="184" t="s">
        <v>83</v>
      </c>
      <c r="B201" s="185">
        <f t="shared" si="66"/>
        <v>9</v>
      </c>
      <c r="C201" s="186" t="s">
        <v>318</v>
      </c>
      <c r="D201" s="186" t="s">
        <v>88</v>
      </c>
      <c r="E201" s="187"/>
      <c r="F201" s="187">
        <v>32400000</v>
      </c>
      <c r="G201" s="187"/>
      <c r="H201" s="188" t="s">
        <v>42</v>
      </c>
      <c r="I201" s="189" t="s">
        <v>320</v>
      </c>
      <c r="J201" s="190">
        <v>3</v>
      </c>
      <c r="K201" s="191">
        <v>4</v>
      </c>
      <c r="L201" s="192">
        <v>9</v>
      </c>
      <c r="M201" s="185">
        <f t="shared" si="58"/>
        <v>1</v>
      </c>
      <c r="N201" s="193" t="s">
        <v>61</v>
      </c>
      <c r="O201" s="194" t="s">
        <v>902</v>
      </c>
      <c r="P201" s="195">
        <f t="shared" si="59"/>
        <v>1</v>
      </c>
      <c r="Q201" s="196">
        <f t="shared" si="64"/>
        <v>32400000</v>
      </c>
      <c r="R201" s="196">
        <f t="shared" si="65"/>
        <v>32400000</v>
      </c>
      <c r="S201" s="197" t="s">
        <v>217</v>
      </c>
      <c r="T201" s="193">
        <f t="shared" si="60"/>
        <v>0</v>
      </c>
      <c r="U201" s="198" t="str">
        <f t="shared" si="61"/>
        <v>SUBDIRECCION DE GESTION CONTRACTUAL</v>
      </c>
      <c r="V201" s="185" t="str">
        <f t="shared" si="62"/>
        <v>CO-DC</v>
      </c>
      <c r="W201" s="198" t="str">
        <f t="shared" si="63"/>
        <v>Distrito Capital de Bogotá</v>
      </c>
      <c r="X201" s="199" t="s">
        <v>321</v>
      </c>
      <c r="Y201" s="185">
        <v>2427400</v>
      </c>
      <c r="Z201" s="200" t="s">
        <v>75</v>
      </c>
    </row>
    <row r="202" spans="1:26" s="7" customFormat="1" ht="12.75" customHeight="1" x14ac:dyDescent="0.2">
      <c r="A202" s="184" t="s">
        <v>83</v>
      </c>
      <c r="B202" s="185">
        <f t="shared" si="66"/>
        <v>10</v>
      </c>
      <c r="C202" s="186" t="s">
        <v>90</v>
      </c>
      <c r="D202" s="186" t="s">
        <v>88</v>
      </c>
      <c r="E202" s="187"/>
      <c r="F202" s="187">
        <v>1730400000</v>
      </c>
      <c r="G202" s="187"/>
      <c r="H202" s="188" t="s">
        <v>895</v>
      </c>
      <c r="I202" s="189" t="s">
        <v>909</v>
      </c>
      <c r="J202" s="190">
        <v>7</v>
      </c>
      <c r="K202" s="266">
        <v>7</v>
      </c>
      <c r="L202" s="192">
        <v>5</v>
      </c>
      <c r="M202" s="185">
        <f t="shared" si="58"/>
        <v>1</v>
      </c>
      <c r="N202" s="193" t="s">
        <v>36</v>
      </c>
      <c r="O202" s="194" t="s">
        <v>256</v>
      </c>
      <c r="P202" s="195">
        <f t="shared" si="59"/>
        <v>1</v>
      </c>
      <c r="Q202" s="196">
        <f t="shared" si="64"/>
        <v>1730400000</v>
      </c>
      <c r="R202" s="196">
        <f t="shared" si="65"/>
        <v>1730400000</v>
      </c>
      <c r="S202" s="197" t="s">
        <v>217</v>
      </c>
      <c r="T202" s="193">
        <f t="shared" si="60"/>
        <v>0</v>
      </c>
      <c r="U202" s="198" t="str">
        <f t="shared" si="61"/>
        <v>SUBDIRECCION DE GESTION CONTRACTUAL</v>
      </c>
      <c r="V202" s="185" t="str">
        <f t="shared" si="62"/>
        <v>CO-DC</v>
      </c>
      <c r="W202" s="198" t="str">
        <f t="shared" si="63"/>
        <v>Distrito Capital de Bogotá</v>
      </c>
      <c r="X202" s="199" t="s">
        <v>589</v>
      </c>
      <c r="Y202" s="185">
        <v>2427400</v>
      </c>
      <c r="Z202" s="200" t="s">
        <v>86</v>
      </c>
    </row>
    <row r="203" spans="1:26" s="7" customFormat="1" ht="12.75" customHeight="1" x14ac:dyDescent="0.2">
      <c r="A203" s="184" t="s">
        <v>83</v>
      </c>
      <c r="B203" s="185">
        <f t="shared" si="66"/>
        <v>11</v>
      </c>
      <c r="C203" s="186" t="s">
        <v>90</v>
      </c>
      <c r="D203" s="186" t="s">
        <v>88</v>
      </c>
      <c r="E203" s="187"/>
      <c r="F203" s="187">
        <v>18810000000</v>
      </c>
      <c r="G203" s="187"/>
      <c r="H203" s="188" t="s">
        <v>913</v>
      </c>
      <c r="I203" s="189" t="s">
        <v>938</v>
      </c>
      <c r="J203" s="190">
        <v>5</v>
      </c>
      <c r="K203" s="266">
        <v>6</v>
      </c>
      <c r="L203" s="192">
        <v>6</v>
      </c>
      <c r="M203" s="185">
        <f t="shared" si="58"/>
        <v>1</v>
      </c>
      <c r="N203" s="193" t="s">
        <v>36</v>
      </c>
      <c r="O203" s="194" t="s">
        <v>256</v>
      </c>
      <c r="P203" s="195">
        <f t="shared" si="59"/>
        <v>1</v>
      </c>
      <c r="Q203" s="196">
        <f t="shared" si="64"/>
        <v>18810000000</v>
      </c>
      <c r="R203" s="196">
        <f t="shared" si="65"/>
        <v>18810000000</v>
      </c>
      <c r="S203" s="197" t="s">
        <v>217</v>
      </c>
      <c r="T203" s="193">
        <f t="shared" si="60"/>
        <v>0</v>
      </c>
      <c r="U203" s="198" t="str">
        <f t="shared" si="61"/>
        <v>SUBDIRECCION DE GESTION CONTRACTUAL</v>
      </c>
      <c r="V203" s="185" t="str">
        <f t="shared" si="62"/>
        <v>CO-DC</v>
      </c>
      <c r="W203" s="198" t="str">
        <f t="shared" si="63"/>
        <v>Distrito Capital de Bogotá</v>
      </c>
      <c r="X203" s="199" t="s">
        <v>589</v>
      </c>
      <c r="Y203" s="185">
        <v>2427400</v>
      </c>
      <c r="Z203" s="200" t="s">
        <v>86</v>
      </c>
    </row>
    <row r="204" spans="1:26" s="7" customFormat="1" ht="12.75" customHeight="1" x14ac:dyDescent="0.2">
      <c r="A204" s="184" t="s">
        <v>83</v>
      </c>
      <c r="B204" s="185">
        <f t="shared" si="66"/>
        <v>12</v>
      </c>
      <c r="C204" s="186" t="s">
        <v>90</v>
      </c>
      <c r="D204" s="186" t="s">
        <v>88</v>
      </c>
      <c r="E204" s="187"/>
      <c r="F204" s="187">
        <v>143296144.09999999</v>
      </c>
      <c r="G204" s="187"/>
      <c r="H204" s="188" t="s">
        <v>565</v>
      </c>
      <c r="I204" s="189" t="s">
        <v>567</v>
      </c>
      <c r="J204" s="190">
        <v>8</v>
      </c>
      <c r="K204" s="190">
        <v>8</v>
      </c>
      <c r="L204" s="192">
        <v>4</v>
      </c>
      <c r="M204" s="185">
        <f t="shared" si="58"/>
        <v>1</v>
      </c>
      <c r="N204" s="193" t="s">
        <v>36</v>
      </c>
      <c r="O204" s="194" t="s">
        <v>256</v>
      </c>
      <c r="P204" s="195">
        <f t="shared" si="59"/>
        <v>1</v>
      </c>
      <c r="Q204" s="196">
        <f t="shared" si="64"/>
        <v>143296144.09999999</v>
      </c>
      <c r="R204" s="196">
        <f t="shared" si="65"/>
        <v>143296144.09999999</v>
      </c>
      <c r="S204" s="197" t="s">
        <v>217</v>
      </c>
      <c r="T204" s="193">
        <f t="shared" si="60"/>
        <v>0</v>
      </c>
      <c r="U204" s="198" t="str">
        <f t="shared" si="61"/>
        <v>SUBDIRECCION DE GESTION CONTRACTUAL</v>
      </c>
      <c r="V204" s="185" t="str">
        <f t="shared" si="62"/>
        <v>CO-DC</v>
      </c>
      <c r="W204" s="198" t="str">
        <f t="shared" si="63"/>
        <v>Distrito Capital de Bogotá</v>
      </c>
      <c r="X204" s="199" t="s">
        <v>299</v>
      </c>
      <c r="Y204" s="185">
        <v>2427400</v>
      </c>
      <c r="Z204" s="200" t="s">
        <v>92</v>
      </c>
    </row>
    <row r="205" spans="1:26" s="7" customFormat="1" ht="12.75" customHeight="1" x14ac:dyDescent="0.2">
      <c r="A205" s="184" t="s">
        <v>83</v>
      </c>
      <c r="B205" s="185">
        <f t="shared" si="66"/>
        <v>13</v>
      </c>
      <c r="C205" s="186" t="s">
        <v>90</v>
      </c>
      <c r="D205" s="186" t="s">
        <v>88</v>
      </c>
      <c r="E205" s="187"/>
      <c r="F205" s="187">
        <v>102257200.97499847</v>
      </c>
      <c r="G205" s="187"/>
      <c r="H205" s="188" t="s">
        <v>875</v>
      </c>
      <c r="I205" s="189" t="s">
        <v>878</v>
      </c>
      <c r="J205" s="190">
        <v>7</v>
      </c>
      <c r="K205" s="268" t="s">
        <v>973</v>
      </c>
      <c r="L205" s="192">
        <v>5</v>
      </c>
      <c r="M205" s="185">
        <f t="shared" si="58"/>
        <v>1</v>
      </c>
      <c r="N205" s="193" t="s">
        <v>36</v>
      </c>
      <c r="O205" s="194" t="s">
        <v>256</v>
      </c>
      <c r="P205" s="195">
        <f t="shared" si="59"/>
        <v>1</v>
      </c>
      <c r="Q205" s="196">
        <f t="shared" si="64"/>
        <v>102257200.97499847</v>
      </c>
      <c r="R205" s="196">
        <f t="shared" si="65"/>
        <v>102257200.97499847</v>
      </c>
      <c r="S205" s="197" t="s">
        <v>217</v>
      </c>
      <c r="T205" s="193">
        <f t="shared" si="60"/>
        <v>0</v>
      </c>
      <c r="U205" s="198" t="str">
        <f t="shared" si="61"/>
        <v>SUBDIRECCION DE GESTION CONTRACTUAL</v>
      </c>
      <c r="V205" s="185" t="str">
        <f t="shared" si="62"/>
        <v>CO-DC</v>
      </c>
      <c r="W205" s="198" t="str">
        <f t="shared" si="63"/>
        <v>Distrito Capital de Bogotá</v>
      </c>
      <c r="X205" s="199" t="s">
        <v>589</v>
      </c>
      <c r="Y205" s="185">
        <v>2427400</v>
      </c>
      <c r="Z205" s="200" t="s">
        <v>86</v>
      </c>
    </row>
    <row r="206" spans="1:26" s="7" customFormat="1" ht="12.75" customHeight="1" x14ac:dyDescent="0.2">
      <c r="A206" s="184" t="s">
        <v>83</v>
      </c>
      <c r="B206" s="185">
        <f t="shared" si="66"/>
        <v>14</v>
      </c>
      <c r="C206" s="186" t="s">
        <v>90</v>
      </c>
      <c r="D206" s="186" t="s">
        <v>88</v>
      </c>
      <c r="E206" s="187"/>
      <c r="F206" s="187">
        <v>126000000</v>
      </c>
      <c r="G206" s="187"/>
      <c r="H206" s="188" t="s">
        <v>91</v>
      </c>
      <c r="I206" s="189" t="s">
        <v>806</v>
      </c>
      <c r="J206" s="190">
        <v>5</v>
      </c>
      <c r="K206" s="266">
        <v>6</v>
      </c>
      <c r="L206" s="192">
        <v>6</v>
      </c>
      <c r="M206" s="185">
        <f t="shared" si="58"/>
        <v>1</v>
      </c>
      <c r="N206" s="193" t="s">
        <v>36</v>
      </c>
      <c r="O206" s="194" t="s">
        <v>256</v>
      </c>
      <c r="P206" s="195">
        <f t="shared" si="59"/>
        <v>1</v>
      </c>
      <c r="Q206" s="196">
        <f t="shared" si="64"/>
        <v>126000000</v>
      </c>
      <c r="R206" s="196">
        <f t="shared" si="65"/>
        <v>126000000</v>
      </c>
      <c r="S206" s="197" t="s">
        <v>217</v>
      </c>
      <c r="T206" s="193">
        <f t="shared" si="60"/>
        <v>0</v>
      </c>
      <c r="U206" s="198" t="str">
        <f t="shared" si="61"/>
        <v>SUBDIRECCION DE GESTION CONTRACTUAL</v>
      </c>
      <c r="V206" s="185" t="str">
        <f t="shared" si="62"/>
        <v>CO-DC</v>
      </c>
      <c r="W206" s="198" t="str">
        <f t="shared" si="63"/>
        <v>Distrito Capital de Bogotá</v>
      </c>
      <c r="X206" s="199" t="s">
        <v>589</v>
      </c>
      <c r="Y206" s="185">
        <v>2427400</v>
      </c>
      <c r="Z206" s="200" t="s">
        <v>86</v>
      </c>
    </row>
    <row r="207" spans="1:26" s="7" customFormat="1" ht="12.75" customHeight="1" x14ac:dyDescent="0.2">
      <c r="A207" s="184" t="s">
        <v>83</v>
      </c>
      <c r="B207" s="185">
        <f t="shared" si="66"/>
        <v>15</v>
      </c>
      <c r="C207" s="186" t="s">
        <v>318</v>
      </c>
      <c r="D207" s="186" t="s">
        <v>88</v>
      </c>
      <c r="E207" s="187"/>
      <c r="F207" s="187">
        <v>130000000</v>
      </c>
      <c r="G207" s="187"/>
      <c r="H207" s="188" t="s">
        <v>565</v>
      </c>
      <c r="I207" s="189" t="s">
        <v>567</v>
      </c>
      <c r="J207" s="190">
        <v>8</v>
      </c>
      <c r="K207" s="268" t="s">
        <v>826</v>
      </c>
      <c r="L207" s="192">
        <v>4</v>
      </c>
      <c r="M207" s="185">
        <f t="shared" si="58"/>
        <v>1</v>
      </c>
      <c r="N207" s="193" t="s">
        <v>36</v>
      </c>
      <c r="O207" s="194" t="s">
        <v>256</v>
      </c>
      <c r="P207" s="195">
        <f t="shared" si="59"/>
        <v>1</v>
      </c>
      <c r="Q207" s="196">
        <f t="shared" si="64"/>
        <v>130000000</v>
      </c>
      <c r="R207" s="196">
        <f t="shared" si="65"/>
        <v>130000000</v>
      </c>
      <c r="S207" s="197" t="s">
        <v>217</v>
      </c>
      <c r="T207" s="193">
        <f t="shared" si="60"/>
        <v>0</v>
      </c>
      <c r="U207" s="198" t="str">
        <f t="shared" si="61"/>
        <v>SUBDIRECCION DE GESTION CONTRACTUAL</v>
      </c>
      <c r="V207" s="185" t="str">
        <f t="shared" si="62"/>
        <v>CO-DC</v>
      </c>
      <c r="W207" s="198" t="str">
        <f t="shared" si="63"/>
        <v>Distrito Capital de Bogotá</v>
      </c>
      <c r="X207" s="199" t="s">
        <v>299</v>
      </c>
      <c r="Y207" s="185">
        <v>2427400</v>
      </c>
      <c r="Z207" s="200" t="s">
        <v>92</v>
      </c>
    </row>
    <row r="208" spans="1:26" s="7" customFormat="1" ht="12.75" customHeight="1" x14ac:dyDescent="0.2">
      <c r="A208" s="184" t="s">
        <v>83</v>
      </c>
      <c r="B208" s="185">
        <f t="shared" si="66"/>
        <v>16</v>
      </c>
      <c r="C208" s="186" t="s">
        <v>322</v>
      </c>
      <c r="D208" s="186" t="s">
        <v>323</v>
      </c>
      <c r="E208" s="187"/>
      <c r="F208" s="187">
        <v>1841153635.2</v>
      </c>
      <c r="G208" s="187"/>
      <c r="H208" s="188">
        <v>80111600</v>
      </c>
      <c r="I208" s="189" t="s">
        <v>316</v>
      </c>
      <c r="J208" s="190">
        <v>1</v>
      </c>
      <c r="K208" s="191">
        <v>1</v>
      </c>
      <c r="L208" s="192">
        <v>12</v>
      </c>
      <c r="M208" s="185">
        <f t="shared" si="58"/>
        <v>1</v>
      </c>
      <c r="N208" s="193" t="s">
        <v>210</v>
      </c>
      <c r="O208" s="194" t="s">
        <v>264</v>
      </c>
      <c r="P208" s="195">
        <f t="shared" si="59"/>
        <v>1</v>
      </c>
      <c r="Q208" s="196">
        <f t="shared" si="64"/>
        <v>1841153635.2</v>
      </c>
      <c r="R208" s="196">
        <f t="shared" si="65"/>
        <v>1841153635.2</v>
      </c>
      <c r="S208" s="197" t="s">
        <v>217</v>
      </c>
      <c r="T208" s="193">
        <f t="shared" si="60"/>
        <v>0</v>
      </c>
      <c r="U208" s="198" t="str">
        <f t="shared" si="61"/>
        <v>SUBDIRECCION DE GESTION CONTRACTUAL</v>
      </c>
      <c r="V208" s="185" t="str">
        <f t="shared" si="62"/>
        <v>CO-DC</v>
      </c>
      <c r="W208" s="198" t="str">
        <f t="shared" si="63"/>
        <v>Distrito Capital de Bogotá</v>
      </c>
      <c r="X208" s="199" t="s">
        <v>589</v>
      </c>
      <c r="Y208" s="185">
        <v>2427400</v>
      </c>
      <c r="Z208" s="200" t="s">
        <v>86</v>
      </c>
    </row>
    <row r="209" spans="1:26" s="7" customFormat="1" ht="12.75" customHeight="1" x14ac:dyDescent="0.2">
      <c r="A209" s="184" t="s">
        <v>83</v>
      </c>
      <c r="B209" s="185">
        <f t="shared" si="66"/>
        <v>17</v>
      </c>
      <c r="C209" s="186" t="s">
        <v>322</v>
      </c>
      <c r="D209" s="186" t="s">
        <v>323</v>
      </c>
      <c r="E209" s="187"/>
      <c r="F209" s="187">
        <v>189000000</v>
      </c>
      <c r="G209" s="187"/>
      <c r="H209" s="188" t="s">
        <v>42</v>
      </c>
      <c r="I209" s="189" t="s">
        <v>320</v>
      </c>
      <c r="J209" s="190">
        <v>3</v>
      </c>
      <c r="K209" s="191">
        <v>4</v>
      </c>
      <c r="L209" s="192">
        <v>9</v>
      </c>
      <c r="M209" s="185">
        <f t="shared" si="58"/>
        <v>1</v>
      </c>
      <c r="N209" s="193" t="s">
        <v>61</v>
      </c>
      <c r="O209" s="194" t="s">
        <v>902</v>
      </c>
      <c r="P209" s="195">
        <f t="shared" si="59"/>
        <v>1</v>
      </c>
      <c r="Q209" s="196">
        <f t="shared" si="64"/>
        <v>189000000</v>
      </c>
      <c r="R209" s="196">
        <f t="shared" si="65"/>
        <v>189000000</v>
      </c>
      <c r="S209" s="197" t="s">
        <v>217</v>
      </c>
      <c r="T209" s="193">
        <f t="shared" si="60"/>
        <v>0</v>
      </c>
      <c r="U209" s="198" t="str">
        <f t="shared" si="61"/>
        <v>SUBDIRECCION DE GESTION CONTRACTUAL</v>
      </c>
      <c r="V209" s="185" t="str">
        <f t="shared" si="62"/>
        <v>CO-DC</v>
      </c>
      <c r="W209" s="198" t="str">
        <f t="shared" si="63"/>
        <v>Distrito Capital de Bogotá</v>
      </c>
      <c r="X209" s="199" t="s">
        <v>321</v>
      </c>
      <c r="Y209" s="185">
        <v>2427400</v>
      </c>
      <c r="Z209" s="200" t="s">
        <v>75</v>
      </c>
    </row>
    <row r="210" spans="1:26" s="7" customFormat="1" ht="12.75" customHeight="1" x14ac:dyDescent="0.2">
      <c r="A210" s="184" t="s">
        <v>83</v>
      </c>
      <c r="B210" s="185">
        <f t="shared" si="66"/>
        <v>18</v>
      </c>
      <c r="C210" s="186" t="s">
        <v>322</v>
      </c>
      <c r="D210" s="186" t="s">
        <v>323</v>
      </c>
      <c r="E210" s="187"/>
      <c r="F210" s="187">
        <f>6579163981+198202843</f>
        <v>6777366824</v>
      </c>
      <c r="G210" s="187"/>
      <c r="H210" s="188" t="s">
        <v>710</v>
      </c>
      <c r="I210" s="189" t="s">
        <v>319</v>
      </c>
      <c r="J210" s="190">
        <v>2</v>
      </c>
      <c r="K210" s="191">
        <v>3</v>
      </c>
      <c r="L210" s="192">
        <v>9</v>
      </c>
      <c r="M210" s="185">
        <f t="shared" si="58"/>
        <v>1</v>
      </c>
      <c r="N210" s="193" t="s">
        <v>221</v>
      </c>
      <c r="O210" s="194" t="s">
        <v>903</v>
      </c>
      <c r="P210" s="195">
        <f t="shared" si="59"/>
        <v>1</v>
      </c>
      <c r="Q210" s="196">
        <f t="shared" si="64"/>
        <v>6777366824</v>
      </c>
      <c r="R210" s="196">
        <f t="shared" si="65"/>
        <v>6777366824</v>
      </c>
      <c r="S210" s="197" t="s">
        <v>217</v>
      </c>
      <c r="T210" s="193">
        <f t="shared" si="60"/>
        <v>0</v>
      </c>
      <c r="U210" s="198" t="str">
        <f t="shared" si="61"/>
        <v>SUBDIRECCION DE GESTION CONTRACTUAL</v>
      </c>
      <c r="V210" s="185" t="str">
        <f t="shared" si="62"/>
        <v>CO-DC</v>
      </c>
      <c r="W210" s="198" t="str">
        <f t="shared" si="63"/>
        <v>Distrito Capital de Bogotá</v>
      </c>
      <c r="X210" s="199" t="s">
        <v>589</v>
      </c>
      <c r="Y210" s="185">
        <v>2427400</v>
      </c>
      <c r="Z210" s="200" t="s">
        <v>86</v>
      </c>
    </row>
    <row r="211" spans="1:26" s="7" customFormat="1" ht="12.75" customHeight="1" x14ac:dyDescent="0.2">
      <c r="A211" s="184" t="s">
        <v>83</v>
      </c>
      <c r="B211" s="185">
        <f t="shared" si="66"/>
        <v>19</v>
      </c>
      <c r="C211" s="186" t="s">
        <v>322</v>
      </c>
      <c r="D211" s="186" t="s">
        <v>323</v>
      </c>
      <c r="E211" s="187"/>
      <c r="F211" s="187">
        <v>2440000000</v>
      </c>
      <c r="G211" s="187"/>
      <c r="H211" s="188" t="s">
        <v>913</v>
      </c>
      <c r="I211" s="189" t="s">
        <v>938</v>
      </c>
      <c r="J211" s="190">
        <v>5</v>
      </c>
      <c r="K211" s="269">
        <v>6</v>
      </c>
      <c r="L211" s="192">
        <v>6</v>
      </c>
      <c r="M211" s="185">
        <f t="shared" si="58"/>
        <v>1</v>
      </c>
      <c r="N211" s="193" t="s">
        <v>36</v>
      </c>
      <c r="O211" s="194" t="s">
        <v>256</v>
      </c>
      <c r="P211" s="195">
        <f t="shared" si="59"/>
        <v>1</v>
      </c>
      <c r="Q211" s="196">
        <f t="shared" si="64"/>
        <v>2440000000</v>
      </c>
      <c r="R211" s="196">
        <f t="shared" si="65"/>
        <v>2440000000</v>
      </c>
      <c r="S211" s="197" t="s">
        <v>217</v>
      </c>
      <c r="T211" s="193">
        <f t="shared" si="60"/>
        <v>0</v>
      </c>
      <c r="U211" s="198" t="str">
        <f t="shared" si="61"/>
        <v>SUBDIRECCION DE GESTION CONTRACTUAL</v>
      </c>
      <c r="V211" s="185" t="str">
        <f t="shared" si="62"/>
        <v>CO-DC</v>
      </c>
      <c r="W211" s="198" t="str">
        <f t="shared" si="63"/>
        <v>Distrito Capital de Bogotá</v>
      </c>
      <c r="X211" s="199" t="s">
        <v>589</v>
      </c>
      <c r="Y211" s="185">
        <v>2427400</v>
      </c>
      <c r="Z211" s="200" t="s">
        <v>86</v>
      </c>
    </row>
    <row r="212" spans="1:26" s="7" customFormat="1" ht="12.75" customHeight="1" x14ac:dyDescent="0.2">
      <c r="A212" s="184" t="s">
        <v>83</v>
      </c>
      <c r="B212" s="185">
        <f t="shared" si="66"/>
        <v>20</v>
      </c>
      <c r="C212" s="186" t="s">
        <v>322</v>
      </c>
      <c r="D212" s="186" t="s">
        <v>323</v>
      </c>
      <c r="E212" s="187"/>
      <c r="F212" s="187">
        <v>330630000</v>
      </c>
      <c r="G212" s="187"/>
      <c r="H212" s="188" t="s">
        <v>875</v>
      </c>
      <c r="I212" s="189" t="s">
        <v>878</v>
      </c>
      <c r="J212" s="190">
        <v>7</v>
      </c>
      <c r="K212" s="190">
        <v>7</v>
      </c>
      <c r="L212" s="192">
        <v>5</v>
      </c>
      <c r="M212" s="185">
        <f t="shared" si="58"/>
        <v>1</v>
      </c>
      <c r="N212" s="193" t="s">
        <v>36</v>
      </c>
      <c r="O212" s="194" t="s">
        <v>256</v>
      </c>
      <c r="P212" s="195">
        <f t="shared" si="59"/>
        <v>1</v>
      </c>
      <c r="Q212" s="196">
        <f t="shared" si="64"/>
        <v>330630000</v>
      </c>
      <c r="R212" s="196">
        <f t="shared" si="65"/>
        <v>330630000</v>
      </c>
      <c r="S212" s="197" t="s">
        <v>217</v>
      </c>
      <c r="T212" s="193">
        <f t="shared" si="60"/>
        <v>0</v>
      </c>
      <c r="U212" s="198" t="str">
        <f t="shared" si="61"/>
        <v>SUBDIRECCION DE GESTION CONTRACTUAL</v>
      </c>
      <c r="V212" s="185" t="str">
        <f t="shared" si="62"/>
        <v>CO-DC</v>
      </c>
      <c r="W212" s="198" t="str">
        <f t="shared" si="63"/>
        <v>Distrito Capital de Bogotá</v>
      </c>
      <c r="X212" s="199" t="s">
        <v>589</v>
      </c>
      <c r="Y212" s="185">
        <v>2427400</v>
      </c>
      <c r="Z212" s="200" t="s">
        <v>86</v>
      </c>
    </row>
    <row r="213" spans="1:26" s="7" customFormat="1" ht="12.75" customHeight="1" x14ac:dyDescent="0.2">
      <c r="A213" s="184" t="s">
        <v>83</v>
      </c>
      <c r="B213" s="185">
        <f t="shared" si="66"/>
        <v>21</v>
      </c>
      <c r="C213" s="186" t="s">
        <v>322</v>
      </c>
      <c r="D213" s="186" t="s">
        <v>323</v>
      </c>
      <c r="E213" s="187"/>
      <c r="F213" s="187">
        <v>264504000</v>
      </c>
      <c r="G213" s="187"/>
      <c r="H213" s="188" t="s">
        <v>895</v>
      </c>
      <c r="I213" s="189" t="s">
        <v>909</v>
      </c>
      <c r="J213" s="190">
        <v>7</v>
      </c>
      <c r="K213" s="190">
        <v>7</v>
      </c>
      <c r="L213" s="192">
        <v>5</v>
      </c>
      <c r="M213" s="185">
        <f t="shared" si="58"/>
        <v>1</v>
      </c>
      <c r="N213" s="193" t="s">
        <v>36</v>
      </c>
      <c r="O213" s="194" t="s">
        <v>256</v>
      </c>
      <c r="P213" s="195">
        <f t="shared" si="59"/>
        <v>1</v>
      </c>
      <c r="Q213" s="196">
        <f t="shared" si="64"/>
        <v>264504000</v>
      </c>
      <c r="R213" s="196">
        <f t="shared" si="65"/>
        <v>264504000</v>
      </c>
      <c r="S213" s="197" t="s">
        <v>217</v>
      </c>
      <c r="T213" s="193">
        <f t="shared" si="60"/>
        <v>0</v>
      </c>
      <c r="U213" s="198" t="str">
        <f t="shared" si="61"/>
        <v>SUBDIRECCION DE GESTION CONTRACTUAL</v>
      </c>
      <c r="V213" s="185" t="str">
        <f t="shared" si="62"/>
        <v>CO-DC</v>
      </c>
      <c r="W213" s="198" t="str">
        <f t="shared" si="63"/>
        <v>Distrito Capital de Bogotá</v>
      </c>
      <c r="X213" s="199" t="s">
        <v>589</v>
      </c>
      <c r="Y213" s="185">
        <v>2427400</v>
      </c>
      <c r="Z213" s="200" t="s">
        <v>86</v>
      </c>
    </row>
    <row r="214" spans="1:26" s="7" customFormat="1" ht="12.75" customHeight="1" x14ac:dyDescent="0.2">
      <c r="A214" s="184" t="s">
        <v>83</v>
      </c>
      <c r="B214" s="185">
        <f t="shared" si="66"/>
        <v>22</v>
      </c>
      <c r="C214" s="186" t="s">
        <v>324</v>
      </c>
      <c r="D214" s="186" t="s">
        <v>325</v>
      </c>
      <c r="E214" s="187"/>
      <c r="F214" s="187">
        <v>1388265011.8870001</v>
      </c>
      <c r="G214" s="187"/>
      <c r="H214" s="188">
        <v>80111600</v>
      </c>
      <c r="I214" s="189" t="s">
        <v>316</v>
      </c>
      <c r="J214" s="190">
        <v>1</v>
      </c>
      <c r="K214" s="191">
        <v>1</v>
      </c>
      <c r="L214" s="192">
        <v>12</v>
      </c>
      <c r="M214" s="185">
        <f t="shared" si="58"/>
        <v>1</v>
      </c>
      <c r="N214" s="193" t="s">
        <v>210</v>
      </c>
      <c r="O214" s="194" t="s">
        <v>264</v>
      </c>
      <c r="P214" s="195">
        <f t="shared" si="59"/>
        <v>1</v>
      </c>
      <c r="Q214" s="196">
        <f t="shared" si="64"/>
        <v>1388265011.8870001</v>
      </c>
      <c r="R214" s="196">
        <f t="shared" si="65"/>
        <v>1388265011.8870001</v>
      </c>
      <c r="S214" s="197" t="s">
        <v>217</v>
      </c>
      <c r="T214" s="193">
        <f t="shared" si="60"/>
        <v>0</v>
      </c>
      <c r="U214" s="198" t="str">
        <f t="shared" si="61"/>
        <v>SUBDIRECCION DE GESTION CONTRACTUAL</v>
      </c>
      <c r="V214" s="185" t="str">
        <f t="shared" si="62"/>
        <v>CO-DC</v>
      </c>
      <c r="W214" s="198" t="str">
        <f t="shared" si="63"/>
        <v>Distrito Capital de Bogotá</v>
      </c>
      <c r="X214" s="199" t="s">
        <v>589</v>
      </c>
      <c r="Y214" s="185">
        <v>2427400</v>
      </c>
      <c r="Z214" s="200" t="s">
        <v>86</v>
      </c>
    </row>
    <row r="215" spans="1:26" s="7" customFormat="1" ht="12.75" customHeight="1" x14ac:dyDescent="0.2">
      <c r="A215" s="184" t="s">
        <v>83</v>
      </c>
      <c r="B215" s="185">
        <f t="shared" si="66"/>
        <v>23</v>
      </c>
      <c r="C215" s="186" t="s">
        <v>324</v>
      </c>
      <c r="D215" s="186" t="s">
        <v>325</v>
      </c>
      <c r="E215" s="187"/>
      <c r="F215" s="187">
        <v>155520000</v>
      </c>
      <c r="G215" s="187"/>
      <c r="H215" s="188" t="s">
        <v>42</v>
      </c>
      <c r="I215" s="189" t="s">
        <v>320</v>
      </c>
      <c r="J215" s="190">
        <v>3</v>
      </c>
      <c r="K215" s="191">
        <v>4</v>
      </c>
      <c r="L215" s="192">
        <v>9</v>
      </c>
      <c r="M215" s="185">
        <f t="shared" si="58"/>
        <v>1</v>
      </c>
      <c r="N215" s="193" t="s">
        <v>61</v>
      </c>
      <c r="O215" s="194" t="s">
        <v>902</v>
      </c>
      <c r="P215" s="195">
        <f t="shared" si="59"/>
        <v>1</v>
      </c>
      <c r="Q215" s="196">
        <f t="shared" si="64"/>
        <v>155520000</v>
      </c>
      <c r="R215" s="196">
        <f t="shared" si="65"/>
        <v>155520000</v>
      </c>
      <c r="S215" s="197" t="s">
        <v>217</v>
      </c>
      <c r="T215" s="193">
        <f t="shared" si="60"/>
        <v>0</v>
      </c>
      <c r="U215" s="198" t="str">
        <f t="shared" si="61"/>
        <v>SUBDIRECCION DE GESTION CONTRACTUAL</v>
      </c>
      <c r="V215" s="185" t="str">
        <f t="shared" si="62"/>
        <v>CO-DC</v>
      </c>
      <c r="W215" s="198" t="str">
        <f t="shared" si="63"/>
        <v>Distrito Capital de Bogotá</v>
      </c>
      <c r="X215" s="199" t="s">
        <v>321</v>
      </c>
      <c r="Y215" s="185">
        <v>2427400</v>
      </c>
      <c r="Z215" s="200" t="s">
        <v>75</v>
      </c>
    </row>
    <row r="216" spans="1:26" s="7" customFormat="1" ht="12.75" customHeight="1" x14ac:dyDescent="0.2">
      <c r="A216" s="184" t="s">
        <v>83</v>
      </c>
      <c r="B216" s="185">
        <f t="shared" si="66"/>
        <v>24</v>
      </c>
      <c r="C216" s="186" t="s">
        <v>324</v>
      </c>
      <c r="D216" s="186" t="s">
        <v>325</v>
      </c>
      <c r="E216" s="187"/>
      <c r="F216" s="187">
        <f>510000000+80000000</f>
        <v>590000000</v>
      </c>
      <c r="G216" s="187"/>
      <c r="H216" s="188" t="s">
        <v>710</v>
      </c>
      <c r="I216" s="189" t="s">
        <v>319</v>
      </c>
      <c r="J216" s="190">
        <v>2</v>
      </c>
      <c r="K216" s="191">
        <v>3</v>
      </c>
      <c r="L216" s="192">
        <v>9</v>
      </c>
      <c r="M216" s="185">
        <f t="shared" si="58"/>
        <v>1</v>
      </c>
      <c r="N216" s="193" t="s">
        <v>221</v>
      </c>
      <c r="O216" s="194" t="s">
        <v>903</v>
      </c>
      <c r="P216" s="195">
        <f t="shared" si="59"/>
        <v>1</v>
      </c>
      <c r="Q216" s="196">
        <f t="shared" si="64"/>
        <v>590000000</v>
      </c>
      <c r="R216" s="196">
        <f t="shared" si="65"/>
        <v>590000000</v>
      </c>
      <c r="S216" s="197" t="s">
        <v>217</v>
      </c>
      <c r="T216" s="193">
        <f t="shared" si="60"/>
        <v>0</v>
      </c>
      <c r="U216" s="198" t="str">
        <f t="shared" si="61"/>
        <v>SUBDIRECCION DE GESTION CONTRACTUAL</v>
      </c>
      <c r="V216" s="185" t="str">
        <f t="shared" si="62"/>
        <v>CO-DC</v>
      </c>
      <c r="W216" s="198" t="str">
        <f t="shared" si="63"/>
        <v>Distrito Capital de Bogotá</v>
      </c>
      <c r="X216" s="199" t="s">
        <v>589</v>
      </c>
      <c r="Y216" s="185">
        <v>2427400</v>
      </c>
      <c r="Z216" s="200" t="s">
        <v>86</v>
      </c>
    </row>
    <row r="217" spans="1:26" s="7" customFormat="1" ht="12.75" customHeight="1" x14ac:dyDescent="0.2">
      <c r="A217" s="184" t="s">
        <v>83</v>
      </c>
      <c r="B217" s="185">
        <f t="shared" si="66"/>
        <v>25</v>
      </c>
      <c r="C217" s="186" t="s">
        <v>324</v>
      </c>
      <c r="D217" s="186" t="s">
        <v>325</v>
      </c>
      <c r="E217" s="187"/>
      <c r="F217" s="187">
        <v>2070778427.1299996</v>
      </c>
      <c r="G217" s="187"/>
      <c r="H217" s="188" t="s">
        <v>913</v>
      </c>
      <c r="I217" s="189" t="s">
        <v>938</v>
      </c>
      <c r="J217" s="190">
        <v>5</v>
      </c>
      <c r="K217" s="266">
        <v>6</v>
      </c>
      <c r="L217" s="192">
        <v>6</v>
      </c>
      <c r="M217" s="185">
        <f t="shared" si="58"/>
        <v>1</v>
      </c>
      <c r="N217" s="193" t="s">
        <v>36</v>
      </c>
      <c r="O217" s="194" t="s">
        <v>256</v>
      </c>
      <c r="P217" s="195">
        <f t="shared" si="59"/>
        <v>1</v>
      </c>
      <c r="Q217" s="196">
        <f t="shared" si="64"/>
        <v>2070778427.1299996</v>
      </c>
      <c r="R217" s="196">
        <f t="shared" si="65"/>
        <v>2070778427.1299996</v>
      </c>
      <c r="S217" s="197" t="s">
        <v>217</v>
      </c>
      <c r="T217" s="193">
        <f t="shared" si="60"/>
        <v>0</v>
      </c>
      <c r="U217" s="198" t="str">
        <f t="shared" si="61"/>
        <v>SUBDIRECCION DE GESTION CONTRACTUAL</v>
      </c>
      <c r="V217" s="185" t="str">
        <f t="shared" si="62"/>
        <v>CO-DC</v>
      </c>
      <c r="W217" s="198" t="str">
        <f t="shared" si="63"/>
        <v>Distrito Capital de Bogotá</v>
      </c>
      <c r="X217" s="199" t="s">
        <v>589</v>
      </c>
      <c r="Y217" s="185">
        <v>2427400</v>
      </c>
      <c r="Z217" s="200" t="s">
        <v>86</v>
      </c>
    </row>
    <row r="218" spans="1:26" s="7" customFormat="1" ht="12.75" customHeight="1" x14ac:dyDescent="0.2">
      <c r="A218" s="184" t="s">
        <v>83</v>
      </c>
      <c r="B218" s="185">
        <f t="shared" si="66"/>
        <v>26</v>
      </c>
      <c r="C218" s="186" t="s">
        <v>326</v>
      </c>
      <c r="D218" s="186" t="s">
        <v>327</v>
      </c>
      <c r="E218" s="187"/>
      <c r="F218" s="187">
        <v>928459073.99864995</v>
      </c>
      <c r="G218" s="187"/>
      <c r="H218" s="188">
        <v>80111600</v>
      </c>
      <c r="I218" s="189" t="s">
        <v>316</v>
      </c>
      <c r="J218" s="190">
        <v>1</v>
      </c>
      <c r="K218" s="268">
        <v>1</v>
      </c>
      <c r="L218" s="192">
        <v>12</v>
      </c>
      <c r="M218" s="185">
        <f t="shared" si="58"/>
        <v>1</v>
      </c>
      <c r="N218" s="193" t="s">
        <v>210</v>
      </c>
      <c r="O218" s="194" t="s">
        <v>264</v>
      </c>
      <c r="P218" s="195">
        <f t="shared" si="59"/>
        <v>1</v>
      </c>
      <c r="Q218" s="196">
        <f t="shared" si="64"/>
        <v>928459073.99864995</v>
      </c>
      <c r="R218" s="196">
        <f t="shared" si="65"/>
        <v>928459073.99864995</v>
      </c>
      <c r="S218" s="197" t="s">
        <v>217</v>
      </c>
      <c r="T218" s="193">
        <f t="shared" si="60"/>
        <v>0</v>
      </c>
      <c r="U218" s="198" t="str">
        <f t="shared" si="61"/>
        <v>SUBDIRECCION DE GESTION CONTRACTUAL</v>
      </c>
      <c r="V218" s="185" t="str">
        <f t="shared" si="62"/>
        <v>CO-DC</v>
      </c>
      <c r="W218" s="198" t="str">
        <f t="shared" si="63"/>
        <v>Distrito Capital de Bogotá</v>
      </c>
      <c r="X218" s="199" t="s">
        <v>589</v>
      </c>
      <c r="Y218" s="185">
        <v>2427400</v>
      </c>
      <c r="Z218" s="200" t="s">
        <v>86</v>
      </c>
    </row>
    <row r="219" spans="1:26" s="7" customFormat="1" ht="12.75" customHeight="1" x14ac:dyDescent="0.2">
      <c r="A219" s="184" t="s">
        <v>83</v>
      </c>
      <c r="B219" s="185">
        <f t="shared" si="66"/>
        <v>27</v>
      </c>
      <c r="C219" s="186" t="s">
        <v>328</v>
      </c>
      <c r="D219" s="186" t="s">
        <v>327</v>
      </c>
      <c r="E219" s="187"/>
      <c r="F219" s="187">
        <v>460662816.76789999</v>
      </c>
      <c r="G219" s="187"/>
      <c r="H219" s="188">
        <v>80111600</v>
      </c>
      <c r="I219" s="189" t="s">
        <v>316</v>
      </c>
      <c r="J219" s="190">
        <v>1</v>
      </c>
      <c r="K219" s="268">
        <v>1</v>
      </c>
      <c r="L219" s="192">
        <v>12</v>
      </c>
      <c r="M219" s="185">
        <f t="shared" si="58"/>
        <v>1</v>
      </c>
      <c r="N219" s="193" t="s">
        <v>210</v>
      </c>
      <c r="O219" s="194" t="s">
        <v>264</v>
      </c>
      <c r="P219" s="195">
        <f t="shared" si="59"/>
        <v>1</v>
      </c>
      <c r="Q219" s="196">
        <f t="shared" si="64"/>
        <v>460662816.76789999</v>
      </c>
      <c r="R219" s="196">
        <f t="shared" si="65"/>
        <v>460662816.76789999</v>
      </c>
      <c r="S219" s="197" t="s">
        <v>217</v>
      </c>
      <c r="T219" s="193">
        <f t="shared" si="60"/>
        <v>0</v>
      </c>
      <c r="U219" s="198" t="str">
        <f t="shared" si="61"/>
        <v>SUBDIRECCION DE GESTION CONTRACTUAL</v>
      </c>
      <c r="V219" s="185" t="str">
        <f t="shared" si="62"/>
        <v>CO-DC</v>
      </c>
      <c r="W219" s="198" t="str">
        <f t="shared" si="63"/>
        <v>Distrito Capital de Bogotá</v>
      </c>
      <c r="X219" s="199" t="s">
        <v>589</v>
      </c>
      <c r="Y219" s="185">
        <v>2427400</v>
      </c>
      <c r="Z219" s="200" t="s">
        <v>86</v>
      </c>
    </row>
    <row r="220" spans="1:26" s="7" customFormat="1" ht="12.75" customHeight="1" x14ac:dyDescent="0.2">
      <c r="A220" s="184" t="s">
        <v>83</v>
      </c>
      <c r="B220" s="185">
        <f t="shared" si="66"/>
        <v>28</v>
      </c>
      <c r="C220" s="186" t="s">
        <v>326</v>
      </c>
      <c r="D220" s="186" t="s">
        <v>327</v>
      </c>
      <c r="E220" s="187"/>
      <c r="F220" s="187">
        <v>158400000</v>
      </c>
      <c r="G220" s="187"/>
      <c r="H220" s="188" t="s">
        <v>42</v>
      </c>
      <c r="I220" s="189" t="s">
        <v>320</v>
      </c>
      <c r="J220" s="190">
        <v>3</v>
      </c>
      <c r="K220" s="268">
        <v>4</v>
      </c>
      <c r="L220" s="192">
        <v>9</v>
      </c>
      <c r="M220" s="185">
        <f t="shared" si="58"/>
        <v>1</v>
      </c>
      <c r="N220" s="193" t="s">
        <v>61</v>
      </c>
      <c r="O220" s="194" t="s">
        <v>902</v>
      </c>
      <c r="P220" s="195">
        <f t="shared" si="59"/>
        <v>1</v>
      </c>
      <c r="Q220" s="196">
        <f t="shared" si="64"/>
        <v>158400000</v>
      </c>
      <c r="R220" s="196">
        <f t="shared" si="65"/>
        <v>158400000</v>
      </c>
      <c r="S220" s="197" t="s">
        <v>217</v>
      </c>
      <c r="T220" s="193">
        <f t="shared" si="60"/>
        <v>0</v>
      </c>
      <c r="U220" s="198" t="str">
        <f t="shared" si="61"/>
        <v>SUBDIRECCION DE GESTION CONTRACTUAL</v>
      </c>
      <c r="V220" s="185" t="str">
        <f t="shared" si="62"/>
        <v>CO-DC</v>
      </c>
      <c r="W220" s="198" t="str">
        <f t="shared" si="63"/>
        <v>Distrito Capital de Bogotá</v>
      </c>
      <c r="X220" s="199" t="s">
        <v>321</v>
      </c>
      <c r="Y220" s="185">
        <v>2427400</v>
      </c>
      <c r="Z220" s="200" t="s">
        <v>75</v>
      </c>
    </row>
    <row r="221" spans="1:26" s="7" customFormat="1" ht="12.75" customHeight="1" x14ac:dyDescent="0.2">
      <c r="A221" s="184" t="s">
        <v>83</v>
      </c>
      <c r="B221" s="185">
        <f t="shared" si="66"/>
        <v>29</v>
      </c>
      <c r="C221" s="186" t="s">
        <v>328</v>
      </c>
      <c r="D221" s="186" t="s">
        <v>327</v>
      </c>
      <c r="E221" s="187"/>
      <c r="F221" s="187">
        <v>60750000</v>
      </c>
      <c r="G221" s="187"/>
      <c r="H221" s="188" t="s">
        <v>42</v>
      </c>
      <c r="I221" s="189" t="s">
        <v>320</v>
      </c>
      <c r="J221" s="190">
        <v>3</v>
      </c>
      <c r="K221" s="191">
        <v>4</v>
      </c>
      <c r="L221" s="192">
        <v>9</v>
      </c>
      <c r="M221" s="185">
        <f t="shared" si="58"/>
        <v>1</v>
      </c>
      <c r="N221" s="193" t="s">
        <v>61</v>
      </c>
      <c r="O221" s="194" t="s">
        <v>902</v>
      </c>
      <c r="P221" s="195">
        <f t="shared" si="59"/>
        <v>1</v>
      </c>
      <c r="Q221" s="196">
        <f t="shared" si="64"/>
        <v>60750000</v>
      </c>
      <c r="R221" s="196">
        <f t="shared" si="65"/>
        <v>60750000</v>
      </c>
      <c r="S221" s="197" t="s">
        <v>217</v>
      </c>
      <c r="T221" s="193">
        <f t="shared" si="60"/>
        <v>0</v>
      </c>
      <c r="U221" s="198" t="str">
        <f t="shared" si="61"/>
        <v>SUBDIRECCION DE GESTION CONTRACTUAL</v>
      </c>
      <c r="V221" s="185" t="str">
        <f t="shared" si="62"/>
        <v>CO-DC</v>
      </c>
      <c r="W221" s="198" t="str">
        <f t="shared" si="63"/>
        <v>Distrito Capital de Bogotá</v>
      </c>
      <c r="X221" s="199" t="s">
        <v>321</v>
      </c>
      <c r="Y221" s="185">
        <v>2427400</v>
      </c>
      <c r="Z221" s="200" t="s">
        <v>75</v>
      </c>
    </row>
    <row r="222" spans="1:26" s="7" customFormat="1" ht="12.75" customHeight="1" x14ac:dyDescent="0.2">
      <c r="A222" s="184" t="s">
        <v>83</v>
      </c>
      <c r="B222" s="185">
        <f t="shared" si="66"/>
        <v>30</v>
      </c>
      <c r="C222" s="186" t="s">
        <v>326</v>
      </c>
      <c r="D222" s="186" t="s">
        <v>327</v>
      </c>
      <c r="E222" s="187"/>
      <c r="F222" s="187">
        <f>1486268992+200000000</f>
        <v>1686268992</v>
      </c>
      <c r="G222" s="187"/>
      <c r="H222" s="188" t="s">
        <v>710</v>
      </c>
      <c r="I222" s="189" t="s">
        <v>319</v>
      </c>
      <c r="J222" s="190">
        <v>2</v>
      </c>
      <c r="K222" s="191">
        <v>3</v>
      </c>
      <c r="L222" s="192">
        <v>9</v>
      </c>
      <c r="M222" s="185">
        <f t="shared" si="58"/>
        <v>1</v>
      </c>
      <c r="N222" s="193" t="s">
        <v>221</v>
      </c>
      <c r="O222" s="194" t="s">
        <v>903</v>
      </c>
      <c r="P222" s="195">
        <f t="shared" si="59"/>
        <v>1</v>
      </c>
      <c r="Q222" s="196">
        <f t="shared" si="64"/>
        <v>1686268992</v>
      </c>
      <c r="R222" s="196">
        <f t="shared" si="65"/>
        <v>1686268992</v>
      </c>
      <c r="S222" s="197" t="s">
        <v>217</v>
      </c>
      <c r="T222" s="193">
        <f t="shared" si="60"/>
        <v>0</v>
      </c>
      <c r="U222" s="198" t="str">
        <f t="shared" si="61"/>
        <v>SUBDIRECCION DE GESTION CONTRACTUAL</v>
      </c>
      <c r="V222" s="185" t="str">
        <f t="shared" si="62"/>
        <v>CO-DC</v>
      </c>
      <c r="W222" s="198" t="str">
        <f t="shared" si="63"/>
        <v>Distrito Capital de Bogotá</v>
      </c>
      <c r="X222" s="199" t="s">
        <v>589</v>
      </c>
      <c r="Y222" s="185">
        <v>2427400</v>
      </c>
      <c r="Z222" s="200" t="s">
        <v>86</v>
      </c>
    </row>
    <row r="223" spans="1:26" s="7" customFormat="1" ht="12.75" customHeight="1" x14ac:dyDescent="0.2">
      <c r="A223" s="184" t="s">
        <v>83</v>
      </c>
      <c r="B223" s="185">
        <f t="shared" si="66"/>
        <v>31</v>
      </c>
      <c r="C223" s="186" t="s">
        <v>328</v>
      </c>
      <c r="D223" s="186" t="s">
        <v>327</v>
      </c>
      <c r="E223" s="187"/>
      <c r="F223" s="187">
        <f>371000000+70000000</f>
        <v>441000000</v>
      </c>
      <c r="G223" s="187"/>
      <c r="H223" s="188" t="s">
        <v>710</v>
      </c>
      <c r="I223" s="189" t="s">
        <v>319</v>
      </c>
      <c r="J223" s="190">
        <v>2</v>
      </c>
      <c r="K223" s="191">
        <v>3</v>
      </c>
      <c r="L223" s="192">
        <v>9</v>
      </c>
      <c r="M223" s="185">
        <f t="shared" si="58"/>
        <v>1</v>
      </c>
      <c r="N223" s="193" t="s">
        <v>221</v>
      </c>
      <c r="O223" s="194" t="s">
        <v>903</v>
      </c>
      <c r="P223" s="195">
        <f t="shared" si="59"/>
        <v>1</v>
      </c>
      <c r="Q223" s="196">
        <f t="shared" si="64"/>
        <v>441000000</v>
      </c>
      <c r="R223" s="196">
        <f t="shared" si="65"/>
        <v>441000000</v>
      </c>
      <c r="S223" s="197" t="s">
        <v>217</v>
      </c>
      <c r="T223" s="193">
        <f t="shared" si="60"/>
        <v>0</v>
      </c>
      <c r="U223" s="198" t="str">
        <f t="shared" si="61"/>
        <v>SUBDIRECCION DE GESTION CONTRACTUAL</v>
      </c>
      <c r="V223" s="185" t="str">
        <f t="shared" si="62"/>
        <v>CO-DC</v>
      </c>
      <c r="W223" s="198" t="str">
        <f t="shared" si="63"/>
        <v>Distrito Capital de Bogotá</v>
      </c>
      <c r="X223" s="199" t="s">
        <v>589</v>
      </c>
      <c r="Y223" s="185">
        <v>2427400</v>
      </c>
      <c r="Z223" s="200" t="s">
        <v>86</v>
      </c>
    </row>
    <row r="224" spans="1:26" s="7" customFormat="1" ht="12.75" customHeight="1" x14ac:dyDescent="0.2">
      <c r="A224" s="184" t="s">
        <v>83</v>
      </c>
      <c r="B224" s="185">
        <f t="shared" si="66"/>
        <v>32</v>
      </c>
      <c r="C224" s="186" t="s">
        <v>326</v>
      </c>
      <c r="D224" s="186" t="s">
        <v>327</v>
      </c>
      <c r="E224" s="187"/>
      <c r="F224" s="187">
        <v>494400000</v>
      </c>
      <c r="G224" s="187"/>
      <c r="H224" s="188" t="s">
        <v>895</v>
      </c>
      <c r="I224" s="189" t="s">
        <v>909</v>
      </c>
      <c r="J224" s="190">
        <v>7</v>
      </c>
      <c r="K224" s="190">
        <v>7</v>
      </c>
      <c r="L224" s="192">
        <v>5</v>
      </c>
      <c r="M224" s="185">
        <f t="shared" ref="M224:M255" si="67">IF(ISBLANK(J224),"",1)</f>
        <v>1</v>
      </c>
      <c r="N224" s="193" t="s">
        <v>36</v>
      </c>
      <c r="O224" s="194" t="s">
        <v>256</v>
      </c>
      <c r="P224" s="195">
        <f t="shared" ref="P224:P255" si="68">IF(ISBLANK(N224),"",1)</f>
        <v>1</v>
      </c>
      <c r="Q224" s="196">
        <f t="shared" si="64"/>
        <v>494400000</v>
      </c>
      <c r="R224" s="196">
        <f t="shared" si="65"/>
        <v>494400000</v>
      </c>
      <c r="S224" s="197" t="s">
        <v>217</v>
      </c>
      <c r="T224" s="193">
        <f t="shared" ref="T224:T255" si="69">IF(ISBLANK(S224),"",IF(VALUE(S224)=0,0,IF(VALUE(S224)=1,3,"")))</f>
        <v>0</v>
      </c>
      <c r="U224" s="198" t="str">
        <f t="shared" ref="U224:U255" si="70">IF(ISBLANK(N224),"","SUBDIRECCION DE GESTION CONTRACTUAL")</f>
        <v>SUBDIRECCION DE GESTION CONTRACTUAL</v>
      </c>
      <c r="V224" s="185" t="str">
        <f t="shared" ref="V224:V255" si="71">IF(ISBLANK(N224),"","CO-DC")</f>
        <v>CO-DC</v>
      </c>
      <c r="W224" s="198" t="str">
        <f t="shared" ref="W224:W255" si="72">IF(ISBLANK(N224),"","Distrito Capital de Bogotá")</f>
        <v>Distrito Capital de Bogotá</v>
      </c>
      <c r="X224" s="199" t="s">
        <v>589</v>
      </c>
      <c r="Y224" s="185">
        <v>2427400</v>
      </c>
      <c r="Z224" s="200" t="s">
        <v>86</v>
      </c>
    </row>
    <row r="225" spans="1:26" s="7" customFormat="1" ht="12.75" customHeight="1" x14ac:dyDescent="0.2">
      <c r="A225" s="184" t="s">
        <v>83</v>
      </c>
      <c r="B225" s="185">
        <f t="shared" si="66"/>
        <v>33</v>
      </c>
      <c r="C225" s="186" t="s">
        <v>326</v>
      </c>
      <c r="D225" s="186" t="s">
        <v>327</v>
      </c>
      <c r="E225" s="187"/>
      <c r="F225" s="187">
        <v>1610000000</v>
      </c>
      <c r="G225" s="187"/>
      <c r="H225" s="188" t="s">
        <v>913</v>
      </c>
      <c r="I225" s="189" t="s">
        <v>938</v>
      </c>
      <c r="J225" s="190">
        <v>5</v>
      </c>
      <c r="K225" s="266">
        <v>6</v>
      </c>
      <c r="L225" s="192">
        <v>6</v>
      </c>
      <c r="M225" s="185">
        <f t="shared" si="67"/>
        <v>1</v>
      </c>
      <c r="N225" s="193" t="s">
        <v>36</v>
      </c>
      <c r="O225" s="194" t="s">
        <v>256</v>
      </c>
      <c r="P225" s="195">
        <f t="shared" si="68"/>
        <v>1</v>
      </c>
      <c r="Q225" s="196">
        <f t="shared" ref="Q225:Q256" si="73">+E225+F225+G225</f>
        <v>1610000000</v>
      </c>
      <c r="R225" s="196">
        <f t="shared" ref="R225:R256" si="74">+F225</f>
        <v>1610000000</v>
      </c>
      <c r="S225" s="197" t="s">
        <v>217</v>
      </c>
      <c r="T225" s="193">
        <f t="shared" si="69"/>
        <v>0</v>
      </c>
      <c r="U225" s="198" t="str">
        <f t="shared" si="70"/>
        <v>SUBDIRECCION DE GESTION CONTRACTUAL</v>
      </c>
      <c r="V225" s="185" t="str">
        <f t="shared" si="71"/>
        <v>CO-DC</v>
      </c>
      <c r="W225" s="198" t="str">
        <f t="shared" si="72"/>
        <v>Distrito Capital de Bogotá</v>
      </c>
      <c r="X225" s="199" t="s">
        <v>589</v>
      </c>
      <c r="Y225" s="185">
        <v>2427400</v>
      </c>
      <c r="Z225" s="200" t="s">
        <v>86</v>
      </c>
    </row>
    <row r="226" spans="1:26" s="7" customFormat="1" ht="12.75" customHeight="1" x14ac:dyDescent="0.2">
      <c r="A226" s="184" t="s">
        <v>83</v>
      </c>
      <c r="B226" s="185">
        <f t="shared" si="66"/>
        <v>34</v>
      </c>
      <c r="C226" s="186" t="s">
        <v>328</v>
      </c>
      <c r="D226" s="186" t="s">
        <v>327</v>
      </c>
      <c r="E226" s="187"/>
      <c r="F226" s="187">
        <v>575000000</v>
      </c>
      <c r="G226" s="187"/>
      <c r="H226" s="188" t="s">
        <v>913</v>
      </c>
      <c r="I226" s="189" t="s">
        <v>938</v>
      </c>
      <c r="J226" s="190">
        <v>5</v>
      </c>
      <c r="K226" s="266">
        <v>6</v>
      </c>
      <c r="L226" s="192">
        <v>6</v>
      </c>
      <c r="M226" s="185">
        <f t="shared" si="67"/>
        <v>1</v>
      </c>
      <c r="N226" s="193" t="s">
        <v>36</v>
      </c>
      <c r="O226" s="194" t="s">
        <v>256</v>
      </c>
      <c r="P226" s="195">
        <f t="shared" si="68"/>
        <v>1</v>
      </c>
      <c r="Q226" s="196">
        <f t="shared" si="73"/>
        <v>575000000</v>
      </c>
      <c r="R226" s="196">
        <f t="shared" si="74"/>
        <v>575000000</v>
      </c>
      <c r="S226" s="197" t="s">
        <v>217</v>
      </c>
      <c r="T226" s="193">
        <f t="shared" si="69"/>
        <v>0</v>
      </c>
      <c r="U226" s="198" t="str">
        <f t="shared" si="70"/>
        <v>SUBDIRECCION DE GESTION CONTRACTUAL</v>
      </c>
      <c r="V226" s="185" t="str">
        <f t="shared" si="71"/>
        <v>CO-DC</v>
      </c>
      <c r="W226" s="198" t="str">
        <f t="shared" si="72"/>
        <v>Distrito Capital de Bogotá</v>
      </c>
      <c r="X226" s="199" t="s">
        <v>589</v>
      </c>
      <c r="Y226" s="185">
        <v>2427400</v>
      </c>
      <c r="Z226" s="200" t="s">
        <v>86</v>
      </c>
    </row>
    <row r="227" spans="1:26" s="7" customFormat="1" ht="12.75" customHeight="1" x14ac:dyDescent="0.2">
      <c r="A227" s="184" t="s">
        <v>83</v>
      </c>
      <c r="B227" s="185">
        <f t="shared" si="66"/>
        <v>35</v>
      </c>
      <c r="C227" s="186" t="s">
        <v>329</v>
      </c>
      <c r="D227" s="186" t="s">
        <v>330</v>
      </c>
      <c r="E227" s="187"/>
      <c r="F227" s="187">
        <v>1601373918</v>
      </c>
      <c r="G227" s="187"/>
      <c r="H227" s="188">
        <v>80111600</v>
      </c>
      <c r="I227" s="189" t="s">
        <v>316</v>
      </c>
      <c r="J227" s="190">
        <v>1</v>
      </c>
      <c r="K227" s="191">
        <v>1</v>
      </c>
      <c r="L227" s="192">
        <v>12</v>
      </c>
      <c r="M227" s="185">
        <f t="shared" si="67"/>
        <v>1</v>
      </c>
      <c r="N227" s="193" t="s">
        <v>210</v>
      </c>
      <c r="O227" s="194" t="s">
        <v>264</v>
      </c>
      <c r="P227" s="195">
        <f t="shared" si="68"/>
        <v>1</v>
      </c>
      <c r="Q227" s="196">
        <f t="shared" si="73"/>
        <v>1601373918</v>
      </c>
      <c r="R227" s="196">
        <f t="shared" si="74"/>
        <v>1601373918</v>
      </c>
      <c r="S227" s="197" t="s">
        <v>217</v>
      </c>
      <c r="T227" s="193">
        <f t="shared" si="69"/>
        <v>0</v>
      </c>
      <c r="U227" s="198" t="str">
        <f t="shared" si="70"/>
        <v>SUBDIRECCION DE GESTION CONTRACTUAL</v>
      </c>
      <c r="V227" s="185" t="str">
        <f t="shared" si="71"/>
        <v>CO-DC</v>
      </c>
      <c r="W227" s="198" t="str">
        <f t="shared" si="72"/>
        <v>Distrito Capital de Bogotá</v>
      </c>
      <c r="X227" s="199" t="s">
        <v>589</v>
      </c>
      <c r="Y227" s="185">
        <v>2427400</v>
      </c>
      <c r="Z227" s="200" t="s">
        <v>86</v>
      </c>
    </row>
    <row r="228" spans="1:26" s="7" customFormat="1" ht="12.75" customHeight="1" x14ac:dyDescent="0.2">
      <c r="A228" s="184" t="s">
        <v>83</v>
      </c>
      <c r="B228" s="185">
        <f t="shared" ref="B228:B262" si="75">+B227+1</f>
        <v>36</v>
      </c>
      <c r="C228" s="186" t="s">
        <v>329</v>
      </c>
      <c r="D228" s="186" t="s">
        <v>330</v>
      </c>
      <c r="E228" s="187"/>
      <c r="F228" s="187">
        <f>4656415718+329345102</f>
        <v>4985760820</v>
      </c>
      <c r="G228" s="187"/>
      <c r="H228" s="188" t="s">
        <v>710</v>
      </c>
      <c r="I228" s="189" t="s">
        <v>319</v>
      </c>
      <c r="J228" s="190">
        <v>2</v>
      </c>
      <c r="K228" s="191">
        <v>3</v>
      </c>
      <c r="L228" s="192">
        <v>9</v>
      </c>
      <c r="M228" s="185">
        <f t="shared" si="67"/>
        <v>1</v>
      </c>
      <c r="N228" s="193" t="s">
        <v>221</v>
      </c>
      <c r="O228" s="194" t="s">
        <v>903</v>
      </c>
      <c r="P228" s="195">
        <f t="shared" si="68"/>
        <v>1</v>
      </c>
      <c r="Q228" s="196">
        <f t="shared" si="73"/>
        <v>4985760820</v>
      </c>
      <c r="R228" s="196">
        <f t="shared" si="74"/>
        <v>4985760820</v>
      </c>
      <c r="S228" s="197" t="s">
        <v>217</v>
      </c>
      <c r="T228" s="193">
        <f t="shared" si="69"/>
        <v>0</v>
      </c>
      <c r="U228" s="198" t="str">
        <f t="shared" si="70"/>
        <v>SUBDIRECCION DE GESTION CONTRACTUAL</v>
      </c>
      <c r="V228" s="185" t="str">
        <f t="shared" si="71"/>
        <v>CO-DC</v>
      </c>
      <c r="W228" s="198" t="str">
        <f t="shared" si="72"/>
        <v>Distrito Capital de Bogotá</v>
      </c>
      <c r="X228" s="199" t="s">
        <v>589</v>
      </c>
      <c r="Y228" s="185">
        <v>2427400</v>
      </c>
      <c r="Z228" s="200" t="s">
        <v>86</v>
      </c>
    </row>
    <row r="229" spans="1:26" s="7" customFormat="1" ht="12.75" customHeight="1" x14ac:dyDescent="0.2">
      <c r="A229" s="184" t="s">
        <v>83</v>
      </c>
      <c r="B229" s="185">
        <f t="shared" si="75"/>
        <v>37</v>
      </c>
      <c r="C229" s="186" t="s">
        <v>329</v>
      </c>
      <c r="D229" s="186" t="s">
        <v>330</v>
      </c>
      <c r="E229" s="187"/>
      <c r="F229" s="187">
        <v>71280000</v>
      </c>
      <c r="G229" s="187"/>
      <c r="H229" s="188" t="s">
        <v>42</v>
      </c>
      <c r="I229" s="189" t="s">
        <v>320</v>
      </c>
      <c r="J229" s="190">
        <v>3</v>
      </c>
      <c r="K229" s="268">
        <v>4</v>
      </c>
      <c r="L229" s="192">
        <v>9</v>
      </c>
      <c r="M229" s="185">
        <f t="shared" si="67"/>
        <v>1</v>
      </c>
      <c r="N229" s="193" t="s">
        <v>61</v>
      </c>
      <c r="O229" s="194" t="s">
        <v>902</v>
      </c>
      <c r="P229" s="195">
        <f t="shared" si="68"/>
        <v>1</v>
      </c>
      <c r="Q229" s="196">
        <f t="shared" si="73"/>
        <v>71280000</v>
      </c>
      <c r="R229" s="196">
        <f t="shared" si="74"/>
        <v>71280000</v>
      </c>
      <c r="S229" s="197" t="s">
        <v>217</v>
      </c>
      <c r="T229" s="193">
        <f t="shared" si="69"/>
        <v>0</v>
      </c>
      <c r="U229" s="198" t="str">
        <f t="shared" si="70"/>
        <v>SUBDIRECCION DE GESTION CONTRACTUAL</v>
      </c>
      <c r="V229" s="185" t="str">
        <f t="shared" si="71"/>
        <v>CO-DC</v>
      </c>
      <c r="W229" s="198" t="str">
        <f t="shared" si="72"/>
        <v>Distrito Capital de Bogotá</v>
      </c>
      <c r="X229" s="199" t="s">
        <v>321</v>
      </c>
      <c r="Y229" s="185">
        <v>2427400</v>
      </c>
      <c r="Z229" s="200" t="s">
        <v>75</v>
      </c>
    </row>
    <row r="230" spans="1:26" s="7" customFormat="1" ht="12.75" customHeight="1" x14ac:dyDescent="0.2">
      <c r="A230" s="184" t="s">
        <v>83</v>
      </c>
      <c r="B230" s="185">
        <f t="shared" si="75"/>
        <v>38</v>
      </c>
      <c r="C230" s="186" t="s">
        <v>329</v>
      </c>
      <c r="D230" s="186" t="s">
        <v>330</v>
      </c>
      <c r="E230" s="187"/>
      <c r="F230" s="187">
        <v>180000000</v>
      </c>
      <c r="G230" s="187"/>
      <c r="H230" s="188" t="s">
        <v>565</v>
      </c>
      <c r="I230" s="189" t="s">
        <v>567</v>
      </c>
      <c r="J230" s="190">
        <v>8</v>
      </c>
      <c r="K230" s="268" t="s">
        <v>826</v>
      </c>
      <c r="L230" s="192">
        <v>4</v>
      </c>
      <c r="M230" s="185">
        <f t="shared" si="67"/>
        <v>1</v>
      </c>
      <c r="N230" s="193" t="s">
        <v>36</v>
      </c>
      <c r="O230" s="194" t="s">
        <v>256</v>
      </c>
      <c r="P230" s="195">
        <f t="shared" si="68"/>
        <v>1</v>
      </c>
      <c r="Q230" s="196">
        <f t="shared" si="73"/>
        <v>180000000</v>
      </c>
      <c r="R230" s="196">
        <f t="shared" si="74"/>
        <v>180000000</v>
      </c>
      <c r="S230" s="197" t="s">
        <v>217</v>
      </c>
      <c r="T230" s="193">
        <f t="shared" si="69"/>
        <v>0</v>
      </c>
      <c r="U230" s="198" t="str">
        <f t="shared" si="70"/>
        <v>SUBDIRECCION DE GESTION CONTRACTUAL</v>
      </c>
      <c r="V230" s="185" t="str">
        <f t="shared" si="71"/>
        <v>CO-DC</v>
      </c>
      <c r="W230" s="198" t="str">
        <f t="shared" si="72"/>
        <v>Distrito Capital de Bogotá</v>
      </c>
      <c r="X230" s="199" t="s">
        <v>299</v>
      </c>
      <c r="Y230" s="185">
        <v>2427400</v>
      </c>
      <c r="Z230" s="200" t="s">
        <v>92</v>
      </c>
    </row>
    <row r="231" spans="1:26" s="7" customFormat="1" ht="12.75" customHeight="1" x14ac:dyDescent="0.2">
      <c r="A231" s="184" t="s">
        <v>83</v>
      </c>
      <c r="B231" s="185">
        <f t="shared" si="75"/>
        <v>39</v>
      </c>
      <c r="C231" s="186" t="s">
        <v>84</v>
      </c>
      <c r="D231" s="186" t="s">
        <v>85</v>
      </c>
      <c r="E231" s="187"/>
      <c r="F231" s="187">
        <f>1752566308-45600000</f>
        <v>1706966308</v>
      </c>
      <c r="G231" s="187"/>
      <c r="H231" s="188">
        <v>80111600</v>
      </c>
      <c r="I231" s="189" t="s">
        <v>316</v>
      </c>
      <c r="J231" s="190">
        <v>1</v>
      </c>
      <c r="K231" s="191">
        <v>1</v>
      </c>
      <c r="L231" s="192">
        <v>12</v>
      </c>
      <c r="M231" s="185">
        <f t="shared" si="67"/>
        <v>1</v>
      </c>
      <c r="N231" s="193" t="s">
        <v>210</v>
      </c>
      <c r="O231" s="194" t="s">
        <v>264</v>
      </c>
      <c r="P231" s="195">
        <f t="shared" si="68"/>
        <v>1</v>
      </c>
      <c r="Q231" s="196">
        <f t="shared" si="73"/>
        <v>1706966308</v>
      </c>
      <c r="R231" s="196">
        <f t="shared" si="74"/>
        <v>1706966308</v>
      </c>
      <c r="S231" s="197" t="s">
        <v>217</v>
      </c>
      <c r="T231" s="193">
        <f t="shared" si="69"/>
        <v>0</v>
      </c>
      <c r="U231" s="198" t="str">
        <f t="shared" si="70"/>
        <v>SUBDIRECCION DE GESTION CONTRACTUAL</v>
      </c>
      <c r="V231" s="185" t="str">
        <f t="shared" si="71"/>
        <v>CO-DC</v>
      </c>
      <c r="W231" s="198" t="str">
        <f t="shared" si="72"/>
        <v>Distrito Capital de Bogotá</v>
      </c>
      <c r="X231" s="199" t="s">
        <v>589</v>
      </c>
      <c r="Y231" s="185">
        <v>2427400</v>
      </c>
      <c r="Z231" s="200" t="s">
        <v>86</v>
      </c>
    </row>
    <row r="232" spans="1:26" s="7" customFormat="1" ht="12.75" customHeight="1" x14ac:dyDescent="0.2">
      <c r="A232" s="184" t="s">
        <v>83</v>
      </c>
      <c r="B232" s="185">
        <f t="shared" si="75"/>
        <v>40</v>
      </c>
      <c r="C232" s="186" t="s">
        <v>84</v>
      </c>
      <c r="D232" s="186" t="s">
        <v>85</v>
      </c>
      <c r="E232" s="187">
        <v>84511564</v>
      </c>
      <c r="F232" s="187">
        <v>0</v>
      </c>
      <c r="G232" s="187"/>
      <c r="H232" s="188" t="s">
        <v>42</v>
      </c>
      <c r="I232" s="189" t="s">
        <v>320</v>
      </c>
      <c r="J232" s="190">
        <v>3</v>
      </c>
      <c r="K232" s="191">
        <v>4</v>
      </c>
      <c r="L232" s="192">
        <v>9</v>
      </c>
      <c r="M232" s="185">
        <f t="shared" si="67"/>
        <v>1</v>
      </c>
      <c r="N232" s="193" t="s">
        <v>61</v>
      </c>
      <c r="O232" s="194" t="s">
        <v>902</v>
      </c>
      <c r="P232" s="195">
        <f t="shared" si="68"/>
        <v>1</v>
      </c>
      <c r="Q232" s="196">
        <f t="shared" si="73"/>
        <v>84511564</v>
      </c>
      <c r="R232" s="196">
        <f t="shared" si="74"/>
        <v>0</v>
      </c>
      <c r="S232" s="197" t="s">
        <v>218</v>
      </c>
      <c r="T232" s="193">
        <f t="shared" si="69"/>
        <v>3</v>
      </c>
      <c r="U232" s="198" t="str">
        <f t="shared" si="70"/>
        <v>SUBDIRECCION DE GESTION CONTRACTUAL</v>
      </c>
      <c r="V232" s="185" t="str">
        <f t="shared" si="71"/>
        <v>CO-DC</v>
      </c>
      <c r="W232" s="198" t="str">
        <f t="shared" si="72"/>
        <v>Distrito Capital de Bogotá</v>
      </c>
      <c r="X232" s="199" t="s">
        <v>321</v>
      </c>
      <c r="Y232" s="185">
        <v>2427400</v>
      </c>
      <c r="Z232" s="200" t="s">
        <v>75</v>
      </c>
    </row>
    <row r="233" spans="1:26" s="7" customFormat="1" ht="12.75" customHeight="1" x14ac:dyDescent="0.2">
      <c r="A233" s="184" t="s">
        <v>83</v>
      </c>
      <c r="B233" s="185">
        <f t="shared" si="75"/>
        <v>41</v>
      </c>
      <c r="C233" s="186" t="s">
        <v>84</v>
      </c>
      <c r="D233" s="186" t="s">
        <v>85</v>
      </c>
      <c r="E233" s="187"/>
      <c r="F233" s="187">
        <v>42930000</v>
      </c>
      <c r="G233" s="187"/>
      <c r="H233" s="188" t="s">
        <v>42</v>
      </c>
      <c r="I233" s="189" t="s">
        <v>320</v>
      </c>
      <c r="J233" s="190">
        <v>3</v>
      </c>
      <c r="K233" s="191">
        <v>4</v>
      </c>
      <c r="L233" s="192">
        <v>9</v>
      </c>
      <c r="M233" s="185">
        <f t="shared" si="67"/>
        <v>1</v>
      </c>
      <c r="N233" s="193" t="s">
        <v>61</v>
      </c>
      <c r="O233" s="194" t="s">
        <v>902</v>
      </c>
      <c r="P233" s="195">
        <f t="shared" si="68"/>
        <v>1</v>
      </c>
      <c r="Q233" s="196">
        <f t="shared" si="73"/>
        <v>42930000</v>
      </c>
      <c r="R233" s="196">
        <f t="shared" si="74"/>
        <v>42930000</v>
      </c>
      <c r="S233" s="197" t="s">
        <v>217</v>
      </c>
      <c r="T233" s="193">
        <f t="shared" si="69"/>
        <v>0</v>
      </c>
      <c r="U233" s="198" t="str">
        <f t="shared" si="70"/>
        <v>SUBDIRECCION DE GESTION CONTRACTUAL</v>
      </c>
      <c r="V233" s="185" t="str">
        <f t="shared" si="71"/>
        <v>CO-DC</v>
      </c>
      <c r="W233" s="198" t="str">
        <f t="shared" si="72"/>
        <v>Distrito Capital de Bogotá</v>
      </c>
      <c r="X233" s="199" t="s">
        <v>321</v>
      </c>
      <c r="Y233" s="185">
        <v>2427400</v>
      </c>
      <c r="Z233" s="200" t="s">
        <v>75</v>
      </c>
    </row>
    <row r="234" spans="1:26" s="7" customFormat="1" ht="12.75" customHeight="1" x14ac:dyDescent="0.2">
      <c r="A234" s="184" t="s">
        <v>83</v>
      </c>
      <c r="B234" s="185">
        <f t="shared" si="75"/>
        <v>42</v>
      </c>
      <c r="C234" s="186" t="s">
        <v>84</v>
      </c>
      <c r="D234" s="186" t="s">
        <v>85</v>
      </c>
      <c r="E234" s="187"/>
      <c r="F234" s="187">
        <f>400000000+45600000</f>
        <v>445600000</v>
      </c>
      <c r="G234" s="187"/>
      <c r="H234" s="188" t="s">
        <v>101</v>
      </c>
      <c r="I234" s="189" t="s">
        <v>331</v>
      </c>
      <c r="J234" s="190">
        <v>2</v>
      </c>
      <c r="K234" s="191">
        <v>3</v>
      </c>
      <c r="L234" s="192">
        <v>10</v>
      </c>
      <c r="M234" s="185">
        <f t="shared" si="67"/>
        <v>1</v>
      </c>
      <c r="N234" s="193" t="s">
        <v>36</v>
      </c>
      <c r="O234" s="194" t="s">
        <v>256</v>
      </c>
      <c r="P234" s="195">
        <f t="shared" si="68"/>
        <v>1</v>
      </c>
      <c r="Q234" s="196">
        <f t="shared" si="73"/>
        <v>445600000</v>
      </c>
      <c r="R234" s="196">
        <f t="shared" si="74"/>
        <v>445600000</v>
      </c>
      <c r="S234" s="197" t="s">
        <v>218</v>
      </c>
      <c r="T234" s="193">
        <f t="shared" si="69"/>
        <v>3</v>
      </c>
      <c r="U234" s="198" t="str">
        <f t="shared" si="70"/>
        <v>SUBDIRECCION DE GESTION CONTRACTUAL</v>
      </c>
      <c r="V234" s="185" t="str">
        <f t="shared" si="71"/>
        <v>CO-DC</v>
      </c>
      <c r="W234" s="198" t="str">
        <f t="shared" si="72"/>
        <v>Distrito Capital de Bogotá</v>
      </c>
      <c r="X234" s="199" t="s">
        <v>589</v>
      </c>
      <c r="Y234" s="185">
        <v>2427400</v>
      </c>
      <c r="Z234" s="200" t="s">
        <v>86</v>
      </c>
    </row>
    <row r="235" spans="1:26" s="7" customFormat="1" ht="12.75" customHeight="1" x14ac:dyDescent="0.2">
      <c r="A235" s="184" t="s">
        <v>83</v>
      </c>
      <c r="B235" s="185">
        <f t="shared" si="75"/>
        <v>43</v>
      </c>
      <c r="C235" s="186" t="s">
        <v>84</v>
      </c>
      <c r="D235" s="186" t="s">
        <v>85</v>
      </c>
      <c r="E235" s="187"/>
      <c r="F235" s="187">
        <v>1800000000</v>
      </c>
      <c r="G235" s="187"/>
      <c r="H235" s="188" t="s">
        <v>913</v>
      </c>
      <c r="I235" s="189" t="s">
        <v>938</v>
      </c>
      <c r="J235" s="190">
        <v>5</v>
      </c>
      <c r="K235" s="266">
        <v>6</v>
      </c>
      <c r="L235" s="192">
        <v>6</v>
      </c>
      <c r="M235" s="185">
        <f t="shared" si="67"/>
        <v>1</v>
      </c>
      <c r="N235" s="193" t="s">
        <v>36</v>
      </c>
      <c r="O235" s="194" t="s">
        <v>256</v>
      </c>
      <c r="P235" s="195">
        <f t="shared" si="68"/>
        <v>1</v>
      </c>
      <c r="Q235" s="196">
        <f t="shared" si="73"/>
        <v>1800000000</v>
      </c>
      <c r="R235" s="196">
        <f t="shared" si="74"/>
        <v>1800000000</v>
      </c>
      <c r="S235" s="197" t="s">
        <v>217</v>
      </c>
      <c r="T235" s="193">
        <f t="shared" si="69"/>
        <v>0</v>
      </c>
      <c r="U235" s="198" t="str">
        <f t="shared" si="70"/>
        <v>SUBDIRECCION DE GESTION CONTRACTUAL</v>
      </c>
      <c r="V235" s="185" t="str">
        <f t="shared" si="71"/>
        <v>CO-DC</v>
      </c>
      <c r="W235" s="198" t="str">
        <f t="shared" si="72"/>
        <v>Distrito Capital de Bogotá</v>
      </c>
      <c r="X235" s="199" t="s">
        <v>589</v>
      </c>
      <c r="Y235" s="185">
        <v>2427400</v>
      </c>
      <c r="Z235" s="200" t="s">
        <v>86</v>
      </c>
    </row>
    <row r="236" spans="1:26" s="7" customFormat="1" ht="12.75" customHeight="1" x14ac:dyDescent="0.2">
      <c r="A236" s="184" t="s">
        <v>83</v>
      </c>
      <c r="B236" s="185">
        <f t="shared" si="75"/>
        <v>44</v>
      </c>
      <c r="C236" s="186" t="s">
        <v>317</v>
      </c>
      <c r="D236" s="186" t="s">
        <v>85</v>
      </c>
      <c r="E236" s="187"/>
      <c r="F236" s="187">
        <v>2700000000</v>
      </c>
      <c r="G236" s="187"/>
      <c r="H236" s="188" t="s">
        <v>913</v>
      </c>
      <c r="I236" s="189" t="s">
        <v>938</v>
      </c>
      <c r="J236" s="190">
        <v>5</v>
      </c>
      <c r="K236" s="269">
        <v>6</v>
      </c>
      <c r="L236" s="192">
        <v>6</v>
      </c>
      <c r="M236" s="185">
        <f t="shared" si="67"/>
        <v>1</v>
      </c>
      <c r="N236" s="193" t="s">
        <v>36</v>
      </c>
      <c r="O236" s="194" t="s">
        <v>256</v>
      </c>
      <c r="P236" s="195">
        <f t="shared" si="68"/>
        <v>1</v>
      </c>
      <c r="Q236" s="196">
        <f t="shared" si="73"/>
        <v>2700000000</v>
      </c>
      <c r="R236" s="196">
        <f t="shared" si="74"/>
        <v>2700000000</v>
      </c>
      <c r="S236" s="197" t="s">
        <v>217</v>
      </c>
      <c r="T236" s="193">
        <f t="shared" si="69"/>
        <v>0</v>
      </c>
      <c r="U236" s="198" t="str">
        <f t="shared" si="70"/>
        <v>SUBDIRECCION DE GESTION CONTRACTUAL</v>
      </c>
      <c r="V236" s="185" t="str">
        <f t="shared" si="71"/>
        <v>CO-DC</v>
      </c>
      <c r="W236" s="198" t="str">
        <f t="shared" si="72"/>
        <v>Distrito Capital de Bogotá</v>
      </c>
      <c r="X236" s="199" t="s">
        <v>589</v>
      </c>
      <c r="Y236" s="185">
        <v>2427400</v>
      </c>
      <c r="Z236" s="200" t="s">
        <v>86</v>
      </c>
    </row>
    <row r="237" spans="1:26" s="7" customFormat="1" ht="12.75" customHeight="1" x14ac:dyDescent="0.2">
      <c r="A237" s="184" t="s">
        <v>83</v>
      </c>
      <c r="B237" s="185">
        <f t="shared" si="75"/>
        <v>45</v>
      </c>
      <c r="C237" s="186" t="s">
        <v>332</v>
      </c>
      <c r="D237" s="186" t="s">
        <v>87</v>
      </c>
      <c r="E237" s="187"/>
      <c r="F237" s="187">
        <v>532873475.50294244</v>
      </c>
      <c r="G237" s="187"/>
      <c r="H237" s="188">
        <v>80111600</v>
      </c>
      <c r="I237" s="189" t="s">
        <v>316</v>
      </c>
      <c r="J237" s="190">
        <v>1</v>
      </c>
      <c r="K237" s="268">
        <v>1</v>
      </c>
      <c r="L237" s="192">
        <v>12</v>
      </c>
      <c r="M237" s="185">
        <f t="shared" si="67"/>
        <v>1</v>
      </c>
      <c r="N237" s="193" t="s">
        <v>210</v>
      </c>
      <c r="O237" s="194" t="s">
        <v>264</v>
      </c>
      <c r="P237" s="195">
        <f t="shared" si="68"/>
        <v>1</v>
      </c>
      <c r="Q237" s="196">
        <f t="shared" si="73"/>
        <v>532873475.50294244</v>
      </c>
      <c r="R237" s="196">
        <f t="shared" si="74"/>
        <v>532873475.50294244</v>
      </c>
      <c r="S237" s="197" t="s">
        <v>217</v>
      </c>
      <c r="T237" s="193">
        <f t="shared" si="69"/>
        <v>0</v>
      </c>
      <c r="U237" s="198" t="str">
        <f t="shared" si="70"/>
        <v>SUBDIRECCION DE GESTION CONTRACTUAL</v>
      </c>
      <c r="V237" s="185" t="str">
        <f t="shared" si="71"/>
        <v>CO-DC</v>
      </c>
      <c r="W237" s="198" t="str">
        <f t="shared" si="72"/>
        <v>Distrito Capital de Bogotá</v>
      </c>
      <c r="X237" s="199" t="s">
        <v>589</v>
      </c>
      <c r="Y237" s="185">
        <v>2427400</v>
      </c>
      <c r="Z237" s="200" t="s">
        <v>86</v>
      </c>
    </row>
    <row r="238" spans="1:26" s="7" customFormat="1" ht="12.75" customHeight="1" x14ac:dyDescent="0.2">
      <c r="A238" s="184" t="s">
        <v>83</v>
      </c>
      <c r="B238" s="185">
        <f t="shared" si="75"/>
        <v>46</v>
      </c>
      <c r="C238" s="186" t="s">
        <v>333</v>
      </c>
      <c r="D238" s="186" t="s">
        <v>87</v>
      </c>
      <c r="E238" s="187"/>
      <c r="F238" s="187">
        <v>462703317.26866001</v>
      </c>
      <c r="G238" s="187"/>
      <c r="H238" s="188">
        <v>80111600</v>
      </c>
      <c r="I238" s="189" t="s">
        <v>316</v>
      </c>
      <c r="J238" s="190">
        <v>1</v>
      </c>
      <c r="K238" s="268">
        <v>1</v>
      </c>
      <c r="L238" s="192">
        <v>12</v>
      </c>
      <c r="M238" s="185">
        <f t="shared" si="67"/>
        <v>1</v>
      </c>
      <c r="N238" s="193" t="s">
        <v>210</v>
      </c>
      <c r="O238" s="194" t="s">
        <v>264</v>
      </c>
      <c r="P238" s="195">
        <f t="shared" si="68"/>
        <v>1</v>
      </c>
      <c r="Q238" s="196">
        <f t="shared" si="73"/>
        <v>462703317.26866001</v>
      </c>
      <c r="R238" s="196">
        <f t="shared" si="74"/>
        <v>462703317.26866001</v>
      </c>
      <c r="S238" s="197" t="s">
        <v>217</v>
      </c>
      <c r="T238" s="193">
        <f t="shared" si="69"/>
        <v>0</v>
      </c>
      <c r="U238" s="198" t="str">
        <f t="shared" si="70"/>
        <v>SUBDIRECCION DE GESTION CONTRACTUAL</v>
      </c>
      <c r="V238" s="185" t="str">
        <f t="shared" si="71"/>
        <v>CO-DC</v>
      </c>
      <c r="W238" s="198" t="str">
        <f t="shared" si="72"/>
        <v>Distrito Capital de Bogotá</v>
      </c>
      <c r="X238" s="199" t="s">
        <v>589</v>
      </c>
      <c r="Y238" s="185">
        <v>2427400</v>
      </c>
      <c r="Z238" s="200" t="s">
        <v>86</v>
      </c>
    </row>
    <row r="239" spans="1:26" s="7" customFormat="1" ht="12.75" customHeight="1" x14ac:dyDescent="0.2">
      <c r="A239" s="184" t="s">
        <v>83</v>
      </c>
      <c r="B239" s="185">
        <f t="shared" si="75"/>
        <v>47</v>
      </c>
      <c r="C239" s="186" t="s">
        <v>89</v>
      </c>
      <c r="D239" s="186" t="s">
        <v>87</v>
      </c>
      <c r="E239" s="187"/>
      <c r="F239" s="187">
        <v>344578782.46415001</v>
      </c>
      <c r="G239" s="187"/>
      <c r="H239" s="188">
        <v>80111600</v>
      </c>
      <c r="I239" s="189" t="s">
        <v>316</v>
      </c>
      <c r="J239" s="190">
        <v>1</v>
      </c>
      <c r="K239" s="191">
        <v>1</v>
      </c>
      <c r="L239" s="192">
        <v>12</v>
      </c>
      <c r="M239" s="185">
        <f t="shared" si="67"/>
        <v>1</v>
      </c>
      <c r="N239" s="193" t="s">
        <v>210</v>
      </c>
      <c r="O239" s="194" t="s">
        <v>264</v>
      </c>
      <c r="P239" s="195">
        <f t="shared" si="68"/>
        <v>1</v>
      </c>
      <c r="Q239" s="196">
        <f t="shared" si="73"/>
        <v>344578782.46415001</v>
      </c>
      <c r="R239" s="196">
        <f t="shared" si="74"/>
        <v>344578782.46415001</v>
      </c>
      <c r="S239" s="197" t="s">
        <v>217</v>
      </c>
      <c r="T239" s="193">
        <f t="shared" si="69"/>
        <v>0</v>
      </c>
      <c r="U239" s="198" t="str">
        <f t="shared" si="70"/>
        <v>SUBDIRECCION DE GESTION CONTRACTUAL</v>
      </c>
      <c r="V239" s="185" t="str">
        <f t="shared" si="71"/>
        <v>CO-DC</v>
      </c>
      <c r="W239" s="198" t="str">
        <f t="shared" si="72"/>
        <v>Distrito Capital de Bogotá</v>
      </c>
      <c r="X239" s="199" t="s">
        <v>589</v>
      </c>
      <c r="Y239" s="185">
        <v>2427400</v>
      </c>
      <c r="Z239" s="200" t="s">
        <v>86</v>
      </c>
    </row>
    <row r="240" spans="1:26" s="7" customFormat="1" ht="12.75" customHeight="1" x14ac:dyDescent="0.2">
      <c r="A240" s="184" t="s">
        <v>83</v>
      </c>
      <c r="B240" s="185">
        <f t="shared" si="75"/>
        <v>48</v>
      </c>
      <c r="C240" s="186" t="s">
        <v>332</v>
      </c>
      <c r="D240" s="186" t="s">
        <v>87</v>
      </c>
      <c r="E240" s="187"/>
      <c r="F240" s="187">
        <f>265237115-380000+380000</f>
        <v>265237115</v>
      </c>
      <c r="G240" s="187"/>
      <c r="H240" s="188" t="s">
        <v>710</v>
      </c>
      <c r="I240" s="189" t="s">
        <v>319</v>
      </c>
      <c r="J240" s="190">
        <v>2</v>
      </c>
      <c r="K240" s="191">
        <v>3</v>
      </c>
      <c r="L240" s="192">
        <v>9</v>
      </c>
      <c r="M240" s="185">
        <f t="shared" si="67"/>
        <v>1</v>
      </c>
      <c r="N240" s="193" t="s">
        <v>221</v>
      </c>
      <c r="O240" s="194" t="s">
        <v>903</v>
      </c>
      <c r="P240" s="195">
        <f t="shared" si="68"/>
        <v>1</v>
      </c>
      <c r="Q240" s="196">
        <f t="shared" si="73"/>
        <v>265237115</v>
      </c>
      <c r="R240" s="196">
        <f t="shared" si="74"/>
        <v>265237115</v>
      </c>
      <c r="S240" s="197" t="s">
        <v>217</v>
      </c>
      <c r="T240" s="193">
        <f t="shared" si="69"/>
        <v>0</v>
      </c>
      <c r="U240" s="198" t="str">
        <f t="shared" si="70"/>
        <v>SUBDIRECCION DE GESTION CONTRACTUAL</v>
      </c>
      <c r="V240" s="185" t="str">
        <f t="shared" si="71"/>
        <v>CO-DC</v>
      </c>
      <c r="W240" s="198" t="str">
        <f t="shared" si="72"/>
        <v>Distrito Capital de Bogotá</v>
      </c>
      <c r="X240" s="199" t="s">
        <v>589</v>
      </c>
      <c r="Y240" s="185">
        <v>2427400</v>
      </c>
      <c r="Z240" s="200" t="s">
        <v>86</v>
      </c>
    </row>
    <row r="241" spans="1:26" s="7" customFormat="1" ht="12.75" customHeight="1" x14ac:dyDescent="0.2">
      <c r="A241" s="184" t="s">
        <v>83</v>
      </c>
      <c r="B241" s="185">
        <f t="shared" si="75"/>
        <v>49</v>
      </c>
      <c r="C241" s="186" t="s">
        <v>333</v>
      </c>
      <c r="D241" s="186" t="s">
        <v>87</v>
      </c>
      <c r="E241" s="187"/>
      <c r="F241" s="187">
        <f>1392000000+60000000-184400000</f>
        <v>1267600000</v>
      </c>
      <c r="G241" s="187"/>
      <c r="H241" s="188" t="s">
        <v>710</v>
      </c>
      <c r="I241" s="189" t="s">
        <v>319</v>
      </c>
      <c r="J241" s="190">
        <v>2</v>
      </c>
      <c r="K241" s="191">
        <v>3</v>
      </c>
      <c r="L241" s="192">
        <v>9</v>
      </c>
      <c r="M241" s="185">
        <f t="shared" si="67"/>
        <v>1</v>
      </c>
      <c r="N241" s="193" t="s">
        <v>221</v>
      </c>
      <c r="O241" s="194" t="s">
        <v>903</v>
      </c>
      <c r="P241" s="195">
        <f t="shared" si="68"/>
        <v>1</v>
      </c>
      <c r="Q241" s="196">
        <f t="shared" si="73"/>
        <v>1267600000</v>
      </c>
      <c r="R241" s="196">
        <f t="shared" si="74"/>
        <v>1267600000</v>
      </c>
      <c r="S241" s="197" t="s">
        <v>217</v>
      </c>
      <c r="T241" s="193">
        <f t="shared" si="69"/>
        <v>0</v>
      </c>
      <c r="U241" s="198" t="str">
        <f t="shared" si="70"/>
        <v>SUBDIRECCION DE GESTION CONTRACTUAL</v>
      </c>
      <c r="V241" s="185" t="str">
        <f t="shared" si="71"/>
        <v>CO-DC</v>
      </c>
      <c r="W241" s="198" t="str">
        <f t="shared" si="72"/>
        <v>Distrito Capital de Bogotá</v>
      </c>
      <c r="X241" s="199" t="s">
        <v>589</v>
      </c>
      <c r="Y241" s="185">
        <v>2427400</v>
      </c>
      <c r="Z241" s="200" t="s">
        <v>86</v>
      </c>
    </row>
    <row r="242" spans="1:26" s="7" customFormat="1" ht="12.75" customHeight="1" x14ac:dyDescent="0.2">
      <c r="A242" s="184" t="s">
        <v>83</v>
      </c>
      <c r="B242" s="185">
        <f t="shared" si="75"/>
        <v>50</v>
      </c>
      <c r="C242" s="186" t="s">
        <v>332</v>
      </c>
      <c r="D242" s="186" t="s">
        <v>87</v>
      </c>
      <c r="E242" s="187"/>
      <c r="F242" s="187">
        <v>1600000000</v>
      </c>
      <c r="G242" s="187"/>
      <c r="H242" s="188" t="s">
        <v>913</v>
      </c>
      <c r="I242" s="189" t="s">
        <v>938</v>
      </c>
      <c r="J242" s="190">
        <v>5</v>
      </c>
      <c r="K242" s="269">
        <v>6</v>
      </c>
      <c r="L242" s="192">
        <v>6</v>
      </c>
      <c r="M242" s="185">
        <f t="shared" si="67"/>
        <v>1</v>
      </c>
      <c r="N242" s="193" t="s">
        <v>36</v>
      </c>
      <c r="O242" s="194" t="s">
        <v>256</v>
      </c>
      <c r="P242" s="195">
        <f t="shared" si="68"/>
        <v>1</v>
      </c>
      <c r="Q242" s="196">
        <f t="shared" si="73"/>
        <v>1600000000</v>
      </c>
      <c r="R242" s="196">
        <f t="shared" si="74"/>
        <v>1600000000</v>
      </c>
      <c r="S242" s="197" t="s">
        <v>217</v>
      </c>
      <c r="T242" s="193">
        <f t="shared" si="69"/>
        <v>0</v>
      </c>
      <c r="U242" s="198" t="str">
        <f t="shared" si="70"/>
        <v>SUBDIRECCION DE GESTION CONTRACTUAL</v>
      </c>
      <c r="V242" s="185" t="str">
        <f t="shared" si="71"/>
        <v>CO-DC</v>
      </c>
      <c r="W242" s="198" t="str">
        <f t="shared" si="72"/>
        <v>Distrito Capital de Bogotá</v>
      </c>
      <c r="X242" s="199" t="s">
        <v>589</v>
      </c>
      <c r="Y242" s="185">
        <v>2427400</v>
      </c>
      <c r="Z242" s="200" t="s">
        <v>86</v>
      </c>
    </row>
    <row r="243" spans="1:26" s="7" customFormat="1" ht="12.75" customHeight="1" x14ac:dyDescent="0.2">
      <c r="A243" s="184" t="s">
        <v>83</v>
      </c>
      <c r="B243" s="185">
        <f t="shared" si="75"/>
        <v>51</v>
      </c>
      <c r="C243" s="186" t="s">
        <v>333</v>
      </c>
      <c r="D243" s="186" t="s">
        <v>87</v>
      </c>
      <c r="E243" s="187"/>
      <c r="F243" s="187">
        <v>1440000000</v>
      </c>
      <c r="G243" s="187"/>
      <c r="H243" s="188" t="s">
        <v>913</v>
      </c>
      <c r="I243" s="189" t="s">
        <v>938</v>
      </c>
      <c r="J243" s="190">
        <v>5</v>
      </c>
      <c r="K243" s="266">
        <v>6</v>
      </c>
      <c r="L243" s="192">
        <v>6</v>
      </c>
      <c r="M243" s="185">
        <f t="shared" si="67"/>
        <v>1</v>
      </c>
      <c r="N243" s="193" t="s">
        <v>36</v>
      </c>
      <c r="O243" s="194" t="s">
        <v>256</v>
      </c>
      <c r="P243" s="195">
        <f t="shared" si="68"/>
        <v>1</v>
      </c>
      <c r="Q243" s="196">
        <f t="shared" si="73"/>
        <v>1440000000</v>
      </c>
      <c r="R243" s="196">
        <f t="shared" si="74"/>
        <v>1440000000</v>
      </c>
      <c r="S243" s="197" t="s">
        <v>217</v>
      </c>
      <c r="T243" s="193">
        <f t="shared" si="69"/>
        <v>0</v>
      </c>
      <c r="U243" s="198" t="str">
        <f t="shared" si="70"/>
        <v>SUBDIRECCION DE GESTION CONTRACTUAL</v>
      </c>
      <c r="V243" s="185" t="str">
        <f t="shared" si="71"/>
        <v>CO-DC</v>
      </c>
      <c r="W243" s="198" t="str">
        <f t="shared" si="72"/>
        <v>Distrito Capital de Bogotá</v>
      </c>
      <c r="X243" s="199" t="s">
        <v>589</v>
      </c>
      <c r="Y243" s="185">
        <v>2427400</v>
      </c>
      <c r="Z243" s="200" t="s">
        <v>86</v>
      </c>
    </row>
    <row r="244" spans="1:26" s="7" customFormat="1" ht="12.75" customHeight="1" x14ac:dyDescent="0.2">
      <c r="A244" s="184" t="s">
        <v>83</v>
      </c>
      <c r="B244" s="185">
        <f t="shared" si="75"/>
        <v>52</v>
      </c>
      <c r="C244" s="186" t="s">
        <v>317</v>
      </c>
      <c r="D244" s="186" t="s">
        <v>88</v>
      </c>
      <c r="E244" s="187"/>
      <c r="F244" s="187">
        <v>1600000000</v>
      </c>
      <c r="G244" s="187"/>
      <c r="H244" s="188" t="s">
        <v>913</v>
      </c>
      <c r="I244" s="189" t="s">
        <v>938</v>
      </c>
      <c r="J244" s="190">
        <v>5</v>
      </c>
      <c r="K244" s="266">
        <v>6</v>
      </c>
      <c r="L244" s="192">
        <v>6</v>
      </c>
      <c r="M244" s="185">
        <f t="shared" si="67"/>
        <v>1</v>
      </c>
      <c r="N244" s="193" t="s">
        <v>36</v>
      </c>
      <c r="O244" s="194" t="s">
        <v>256</v>
      </c>
      <c r="P244" s="195">
        <f t="shared" si="68"/>
        <v>1</v>
      </c>
      <c r="Q244" s="196">
        <f t="shared" si="73"/>
        <v>1600000000</v>
      </c>
      <c r="R244" s="196">
        <f t="shared" si="74"/>
        <v>1600000000</v>
      </c>
      <c r="S244" s="197" t="s">
        <v>217</v>
      </c>
      <c r="T244" s="193">
        <f t="shared" si="69"/>
        <v>0</v>
      </c>
      <c r="U244" s="198" t="str">
        <f t="shared" si="70"/>
        <v>SUBDIRECCION DE GESTION CONTRACTUAL</v>
      </c>
      <c r="V244" s="185" t="str">
        <f t="shared" si="71"/>
        <v>CO-DC</v>
      </c>
      <c r="W244" s="198" t="str">
        <f t="shared" si="72"/>
        <v>Distrito Capital de Bogotá</v>
      </c>
      <c r="X244" s="199" t="s">
        <v>589</v>
      </c>
      <c r="Y244" s="185">
        <v>2427400</v>
      </c>
      <c r="Z244" s="200" t="s">
        <v>86</v>
      </c>
    </row>
    <row r="245" spans="1:26" s="7" customFormat="1" ht="12.75" customHeight="1" x14ac:dyDescent="0.2">
      <c r="A245" s="184" t="s">
        <v>83</v>
      </c>
      <c r="B245" s="185">
        <f t="shared" si="75"/>
        <v>53</v>
      </c>
      <c r="C245" s="186" t="s">
        <v>332</v>
      </c>
      <c r="D245" s="186" t="s">
        <v>87</v>
      </c>
      <c r="E245" s="187"/>
      <c r="F245" s="187">
        <v>14606577</v>
      </c>
      <c r="G245" s="187"/>
      <c r="H245" s="188" t="s">
        <v>42</v>
      </c>
      <c r="I245" s="189" t="s">
        <v>320</v>
      </c>
      <c r="J245" s="190">
        <v>3</v>
      </c>
      <c r="K245" s="191">
        <v>4</v>
      </c>
      <c r="L245" s="192">
        <v>9</v>
      </c>
      <c r="M245" s="185">
        <f t="shared" si="67"/>
        <v>1</v>
      </c>
      <c r="N245" s="193" t="s">
        <v>61</v>
      </c>
      <c r="O245" s="194" t="s">
        <v>902</v>
      </c>
      <c r="P245" s="195">
        <f t="shared" si="68"/>
        <v>1</v>
      </c>
      <c r="Q245" s="196">
        <f t="shared" si="73"/>
        <v>14606577</v>
      </c>
      <c r="R245" s="196">
        <f t="shared" si="74"/>
        <v>14606577</v>
      </c>
      <c r="S245" s="197" t="s">
        <v>217</v>
      </c>
      <c r="T245" s="193">
        <f t="shared" si="69"/>
        <v>0</v>
      </c>
      <c r="U245" s="198" t="str">
        <f t="shared" si="70"/>
        <v>SUBDIRECCION DE GESTION CONTRACTUAL</v>
      </c>
      <c r="V245" s="185" t="str">
        <f t="shared" si="71"/>
        <v>CO-DC</v>
      </c>
      <c r="W245" s="198" t="str">
        <f t="shared" si="72"/>
        <v>Distrito Capital de Bogotá</v>
      </c>
      <c r="X245" s="199" t="s">
        <v>321</v>
      </c>
      <c r="Y245" s="185">
        <v>2427400</v>
      </c>
      <c r="Z245" s="200" t="s">
        <v>75</v>
      </c>
    </row>
    <row r="246" spans="1:26" s="7" customFormat="1" ht="12.75" customHeight="1" x14ac:dyDescent="0.2">
      <c r="A246" s="184" t="s">
        <v>83</v>
      </c>
      <c r="B246" s="185">
        <f t="shared" si="75"/>
        <v>54</v>
      </c>
      <c r="C246" s="186" t="s">
        <v>333</v>
      </c>
      <c r="D246" s="186" t="s">
        <v>87</v>
      </c>
      <c r="E246" s="187"/>
      <c r="F246" s="187">
        <v>106920000</v>
      </c>
      <c r="G246" s="187"/>
      <c r="H246" s="188" t="s">
        <v>42</v>
      </c>
      <c r="I246" s="189" t="s">
        <v>320</v>
      </c>
      <c r="J246" s="190">
        <v>3</v>
      </c>
      <c r="K246" s="191">
        <v>4</v>
      </c>
      <c r="L246" s="192">
        <v>9</v>
      </c>
      <c r="M246" s="185">
        <f t="shared" si="67"/>
        <v>1</v>
      </c>
      <c r="N246" s="193" t="s">
        <v>61</v>
      </c>
      <c r="O246" s="194" t="s">
        <v>902</v>
      </c>
      <c r="P246" s="195">
        <f t="shared" si="68"/>
        <v>1</v>
      </c>
      <c r="Q246" s="196">
        <f t="shared" si="73"/>
        <v>106920000</v>
      </c>
      <c r="R246" s="196">
        <f t="shared" si="74"/>
        <v>106920000</v>
      </c>
      <c r="S246" s="197" t="s">
        <v>217</v>
      </c>
      <c r="T246" s="193">
        <f t="shared" si="69"/>
        <v>0</v>
      </c>
      <c r="U246" s="198" t="str">
        <f t="shared" si="70"/>
        <v>SUBDIRECCION DE GESTION CONTRACTUAL</v>
      </c>
      <c r="V246" s="185" t="str">
        <f t="shared" si="71"/>
        <v>CO-DC</v>
      </c>
      <c r="W246" s="198" t="str">
        <f t="shared" si="72"/>
        <v>Distrito Capital de Bogotá</v>
      </c>
      <c r="X246" s="199" t="s">
        <v>321</v>
      </c>
      <c r="Y246" s="185">
        <v>2427400</v>
      </c>
      <c r="Z246" s="200" t="s">
        <v>75</v>
      </c>
    </row>
    <row r="247" spans="1:26" s="7" customFormat="1" ht="12.75" customHeight="1" x14ac:dyDescent="0.2">
      <c r="A247" s="184" t="s">
        <v>83</v>
      </c>
      <c r="B247" s="185">
        <f t="shared" si="75"/>
        <v>55</v>
      </c>
      <c r="C247" s="186" t="s">
        <v>89</v>
      </c>
      <c r="D247" s="186" t="s">
        <v>87</v>
      </c>
      <c r="E247" s="187"/>
      <c r="F247" s="187">
        <v>48600000</v>
      </c>
      <c r="G247" s="187"/>
      <c r="H247" s="188" t="s">
        <v>42</v>
      </c>
      <c r="I247" s="189" t="s">
        <v>320</v>
      </c>
      <c r="J247" s="190">
        <v>3</v>
      </c>
      <c r="K247" s="191">
        <v>4</v>
      </c>
      <c r="L247" s="192">
        <v>9</v>
      </c>
      <c r="M247" s="185">
        <f t="shared" si="67"/>
        <v>1</v>
      </c>
      <c r="N247" s="193" t="s">
        <v>61</v>
      </c>
      <c r="O247" s="194" t="s">
        <v>902</v>
      </c>
      <c r="P247" s="195">
        <f t="shared" si="68"/>
        <v>1</v>
      </c>
      <c r="Q247" s="196">
        <f t="shared" si="73"/>
        <v>48600000</v>
      </c>
      <c r="R247" s="196">
        <f t="shared" si="74"/>
        <v>48600000</v>
      </c>
      <c r="S247" s="197" t="s">
        <v>217</v>
      </c>
      <c r="T247" s="193">
        <f t="shared" si="69"/>
        <v>0</v>
      </c>
      <c r="U247" s="198" t="str">
        <f t="shared" si="70"/>
        <v>SUBDIRECCION DE GESTION CONTRACTUAL</v>
      </c>
      <c r="V247" s="185" t="str">
        <f t="shared" si="71"/>
        <v>CO-DC</v>
      </c>
      <c r="W247" s="198" t="str">
        <f t="shared" si="72"/>
        <v>Distrito Capital de Bogotá</v>
      </c>
      <c r="X247" s="199" t="s">
        <v>321</v>
      </c>
      <c r="Y247" s="185">
        <v>2427400</v>
      </c>
      <c r="Z247" s="200" t="s">
        <v>75</v>
      </c>
    </row>
    <row r="248" spans="1:26" s="7" customFormat="1" ht="12.75" customHeight="1" x14ac:dyDescent="0.2">
      <c r="A248" s="184" t="s">
        <v>83</v>
      </c>
      <c r="B248" s="185">
        <f t="shared" si="75"/>
        <v>56</v>
      </c>
      <c r="C248" s="186" t="s">
        <v>332</v>
      </c>
      <c r="D248" s="186" t="s">
        <v>87</v>
      </c>
      <c r="E248" s="187"/>
      <c r="F248" s="187">
        <v>27000000</v>
      </c>
      <c r="G248" s="187"/>
      <c r="H248" s="188" t="s">
        <v>91</v>
      </c>
      <c r="I248" s="189" t="s">
        <v>806</v>
      </c>
      <c r="J248" s="190">
        <v>5</v>
      </c>
      <c r="K248" s="266">
        <v>6</v>
      </c>
      <c r="L248" s="192">
        <v>6</v>
      </c>
      <c r="M248" s="185">
        <f t="shared" si="67"/>
        <v>1</v>
      </c>
      <c r="N248" s="193" t="s">
        <v>36</v>
      </c>
      <c r="O248" s="194" t="s">
        <v>256</v>
      </c>
      <c r="P248" s="195">
        <f t="shared" si="68"/>
        <v>1</v>
      </c>
      <c r="Q248" s="196">
        <f t="shared" si="73"/>
        <v>27000000</v>
      </c>
      <c r="R248" s="196">
        <f t="shared" si="74"/>
        <v>27000000</v>
      </c>
      <c r="S248" s="197" t="s">
        <v>217</v>
      </c>
      <c r="T248" s="193">
        <f t="shared" si="69"/>
        <v>0</v>
      </c>
      <c r="U248" s="198" t="str">
        <f t="shared" si="70"/>
        <v>SUBDIRECCION DE GESTION CONTRACTUAL</v>
      </c>
      <c r="V248" s="185" t="str">
        <f t="shared" si="71"/>
        <v>CO-DC</v>
      </c>
      <c r="W248" s="198" t="str">
        <f t="shared" si="72"/>
        <v>Distrito Capital de Bogotá</v>
      </c>
      <c r="X248" s="199" t="s">
        <v>589</v>
      </c>
      <c r="Y248" s="185">
        <v>2427400</v>
      </c>
      <c r="Z248" s="200" t="s">
        <v>86</v>
      </c>
    </row>
    <row r="249" spans="1:26" s="7" customFormat="1" ht="12.75" customHeight="1" x14ac:dyDescent="0.2">
      <c r="A249" s="184" t="s">
        <v>83</v>
      </c>
      <c r="B249" s="185">
        <f t="shared" si="75"/>
        <v>57</v>
      </c>
      <c r="C249" s="186" t="s">
        <v>334</v>
      </c>
      <c r="D249" s="186" t="s">
        <v>335</v>
      </c>
      <c r="E249" s="187"/>
      <c r="F249" s="187">
        <f>4731015587-182284447-1000000000+653284447</f>
        <v>4202015587</v>
      </c>
      <c r="G249" s="187"/>
      <c r="H249" s="188">
        <v>80111600</v>
      </c>
      <c r="I249" s="189" t="s">
        <v>316</v>
      </c>
      <c r="J249" s="190">
        <v>1</v>
      </c>
      <c r="K249" s="191">
        <v>1</v>
      </c>
      <c r="L249" s="192">
        <v>12</v>
      </c>
      <c r="M249" s="185">
        <f t="shared" si="67"/>
        <v>1</v>
      </c>
      <c r="N249" s="193" t="s">
        <v>210</v>
      </c>
      <c r="O249" s="194" t="s">
        <v>264</v>
      </c>
      <c r="P249" s="195">
        <f t="shared" si="68"/>
        <v>1</v>
      </c>
      <c r="Q249" s="196">
        <f t="shared" si="73"/>
        <v>4202015587</v>
      </c>
      <c r="R249" s="196">
        <f t="shared" si="74"/>
        <v>4202015587</v>
      </c>
      <c r="S249" s="197" t="s">
        <v>217</v>
      </c>
      <c r="T249" s="193">
        <f t="shared" si="69"/>
        <v>0</v>
      </c>
      <c r="U249" s="198" t="str">
        <f t="shared" si="70"/>
        <v>SUBDIRECCION DE GESTION CONTRACTUAL</v>
      </c>
      <c r="V249" s="185" t="str">
        <f t="shared" si="71"/>
        <v>CO-DC</v>
      </c>
      <c r="W249" s="198" t="str">
        <f t="shared" si="72"/>
        <v>Distrito Capital de Bogotá</v>
      </c>
      <c r="X249" s="199" t="s">
        <v>589</v>
      </c>
      <c r="Y249" s="185">
        <v>2427400</v>
      </c>
      <c r="Z249" s="200" t="s">
        <v>86</v>
      </c>
    </row>
    <row r="250" spans="1:26" s="7" customFormat="1" ht="12.75" customHeight="1" x14ac:dyDescent="0.2">
      <c r="A250" s="184" t="s">
        <v>83</v>
      </c>
      <c r="B250" s="185">
        <f t="shared" si="75"/>
        <v>58</v>
      </c>
      <c r="C250" s="186" t="s">
        <v>334</v>
      </c>
      <c r="D250" s="186" t="s">
        <v>335</v>
      </c>
      <c r="E250" s="187"/>
      <c r="F250" s="187">
        <f>3375904460+163647055</f>
        <v>3539551515</v>
      </c>
      <c r="G250" s="187"/>
      <c r="H250" s="188" t="s">
        <v>710</v>
      </c>
      <c r="I250" s="189" t="s">
        <v>319</v>
      </c>
      <c r="J250" s="190">
        <v>2</v>
      </c>
      <c r="K250" s="191">
        <v>3</v>
      </c>
      <c r="L250" s="192">
        <v>9</v>
      </c>
      <c r="M250" s="185">
        <f t="shared" si="67"/>
        <v>1</v>
      </c>
      <c r="N250" s="193" t="s">
        <v>221</v>
      </c>
      <c r="O250" s="194" t="s">
        <v>903</v>
      </c>
      <c r="P250" s="195">
        <f t="shared" si="68"/>
        <v>1</v>
      </c>
      <c r="Q250" s="196">
        <f t="shared" si="73"/>
        <v>3539551515</v>
      </c>
      <c r="R250" s="196">
        <f t="shared" si="74"/>
        <v>3539551515</v>
      </c>
      <c r="S250" s="197" t="s">
        <v>217</v>
      </c>
      <c r="T250" s="193">
        <f t="shared" si="69"/>
        <v>0</v>
      </c>
      <c r="U250" s="198" t="str">
        <f t="shared" si="70"/>
        <v>SUBDIRECCION DE GESTION CONTRACTUAL</v>
      </c>
      <c r="V250" s="185" t="str">
        <f t="shared" si="71"/>
        <v>CO-DC</v>
      </c>
      <c r="W250" s="198" t="str">
        <f t="shared" si="72"/>
        <v>Distrito Capital de Bogotá</v>
      </c>
      <c r="X250" s="199" t="s">
        <v>589</v>
      </c>
      <c r="Y250" s="185">
        <v>2427400</v>
      </c>
      <c r="Z250" s="200" t="s">
        <v>86</v>
      </c>
    </row>
    <row r="251" spans="1:26" s="7" customFormat="1" ht="12.75" customHeight="1" x14ac:dyDescent="0.2">
      <c r="A251" s="184" t="s">
        <v>83</v>
      </c>
      <c r="B251" s="185">
        <f t="shared" si="75"/>
        <v>59</v>
      </c>
      <c r="C251" s="186" t="s">
        <v>84</v>
      </c>
      <c r="D251" s="186" t="s">
        <v>85</v>
      </c>
      <c r="E251" s="187"/>
      <c r="F251" s="187">
        <v>300000000</v>
      </c>
      <c r="G251" s="187"/>
      <c r="H251" s="188" t="s">
        <v>225</v>
      </c>
      <c r="I251" s="189" t="s">
        <v>336</v>
      </c>
      <c r="J251" s="190">
        <v>7</v>
      </c>
      <c r="K251" s="190">
        <v>7</v>
      </c>
      <c r="L251" s="192">
        <v>5</v>
      </c>
      <c r="M251" s="185">
        <f t="shared" si="67"/>
        <v>1</v>
      </c>
      <c r="N251" s="193" t="s">
        <v>61</v>
      </c>
      <c r="O251" s="194" t="s">
        <v>902</v>
      </c>
      <c r="P251" s="195">
        <f t="shared" si="68"/>
        <v>1</v>
      </c>
      <c r="Q251" s="196">
        <f t="shared" si="73"/>
        <v>300000000</v>
      </c>
      <c r="R251" s="196">
        <f t="shared" si="74"/>
        <v>300000000</v>
      </c>
      <c r="S251" s="197" t="s">
        <v>217</v>
      </c>
      <c r="T251" s="193">
        <f t="shared" si="69"/>
        <v>0</v>
      </c>
      <c r="U251" s="198" t="str">
        <f t="shared" si="70"/>
        <v>SUBDIRECCION DE GESTION CONTRACTUAL</v>
      </c>
      <c r="V251" s="185" t="str">
        <f t="shared" si="71"/>
        <v>CO-DC</v>
      </c>
      <c r="W251" s="198" t="str">
        <f t="shared" si="72"/>
        <v>Distrito Capital de Bogotá</v>
      </c>
      <c r="X251" s="199" t="s">
        <v>974</v>
      </c>
      <c r="Y251" s="185">
        <v>2427400</v>
      </c>
      <c r="Z251" s="200" t="s">
        <v>885</v>
      </c>
    </row>
    <row r="252" spans="1:26" s="7" customFormat="1" ht="12.75" customHeight="1" x14ac:dyDescent="0.2">
      <c r="A252" s="184" t="s">
        <v>83</v>
      </c>
      <c r="B252" s="185">
        <f t="shared" si="75"/>
        <v>60</v>
      </c>
      <c r="C252" s="186" t="s">
        <v>90</v>
      </c>
      <c r="D252" s="186" t="s">
        <v>88</v>
      </c>
      <c r="E252" s="187"/>
      <c r="F252" s="187">
        <f>325175000-325175000</f>
        <v>0</v>
      </c>
      <c r="G252" s="187"/>
      <c r="H252" s="188" t="s">
        <v>710</v>
      </c>
      <c r="I252" s="189" t="s">
        <v>319</v>
      </c>
      <c r="J252" s="206">
        <v>1</v>
      </c>
      <c r="K252" s="206">
        <v>2</v>
      </c>
      <c r="L252" s="206">
        <v>3</v>
      </c>
      <c r="M252" s="185">
        <f t="shared" si="67"/>
        <v>1</v>
      </c>
      <c r="N252" s="193" t="s">
        <v>36</v>
      </c>
      <c r="O252" s="194" t="s">
        <v>256</v>
      </c>
      <c r="P252" s="195">
        <f t="shared" si="68"/>
        <v>1</v>
      </c>
      <c r="Q252" s="196">
        <f t="shared" si="73"/>
        <v>0</v>
      </c>
      <c r="R252" s="196">
        <f t="shared" si="74"/>
        <v>0</v>
      </c>
      <c r="S252" s="197" t="s">
        <v>217</v>
      </c>
      <c r="T252" s="193">
        <f t="shared" si="69"/>
        <v>0</v>
      </c>
      <c r="U252" s="198" t="str">
        <f t="shared" si="70"/>
        <v>SUBDIRECCION DE GESTION CONTRACTUAL</v>
      </c>
      <c r="V252" s="185" t="str">
        <f t="shared" si="71"/>
        <v>CO-DC</v>
      </c>
      <c r="W252" s="198" t="str">
        <f t="shared" si="72"/>
        <v>Distrito Capital de Bogotá</v>
      </c>
      <c r="X252" s="199" t="s">
        <v>589</v>
      </c>
      <c r="Y252" s="185">
        <v>2427400</v>
      </c>
      <c r="Z252" s="200" t="s">
        <v>86</v>
      </c>
    </row>
    <row r="253" spans="1:26" s="7" customFormat="1" ht="12.75" customHeight="1" x14ac:dyDescent="0.2">
      <c r="A253" s="184" t="s">
        <v>83</v>
      </c>
      <c r="B253" s="185">
        <f t="shared" si="75"/>
        <v>61</v>
      </c>
      <c r="C253" s="186" t="s">
        <v>317</v>
      </c>
      <c r="D253" s="186" t="s">
        <v>88</v>
      </c>
      <c r="E253" s="187"/>
      <c r="F253" s="187">
        <f>96000000-96000000</f>
        <v>0</v>
      </c>
      <c r="G253" s="187"/>
      <c r="H253" s="188" t="s">
        <v>710</v>
      </c>
      <c r="I253" s="189" t="s">
        <v>319</v>
      </c>
      <c r="J253" s="206">
        <v>1</v>
      </c>
      <c r="K253" s="206">
        <v>2</v>
      </c>
      <c r="L253" s="206">
        <v>3</v>
      </c>
      <c r="M253" s="185">
        <f t="shared" si="67"/>
        <v>1</v>
      </c>
      <c r="N253" s="193" t="s">
        <v>36</v>
      </c>
      <c r="O253" s="194" t="s">
        <v>256</v>
      </c>
      <c r="P253" s="195">
        <f t="shared" si="68"/>
        <v>1</v>
      </c>
      <c r="Q253" s="196">
        <f t="shared" si="73"/>
        <v>0</v>
      </c>
      <c r="R253" s="196">
        <f t="shared" si="74"/>
        <v>0</v>
      </c>
      <c r="S253" s="197" t="s">
        <v>217</v>
      </c>
      <c r="T253" s="193">
        <f t="shared" si="69"/>
        <v>0</v>
      </c>
      <c r="U253" s="198" t="str">
        <f t="shared" si="70"/>
        <v>SUBDIRECCION DE GESTION CONTRACTUAL</v>
      </c>
      <c r="V253" s="185" t="str">
        <f t="shared" si="71"/>
        <v>CO-DC</v>
      </c>
      <c r="W253" s="198" t="str">
        <f t="shared" si="72"/>
        <v>Distrito Capital de Bogotá</v>
      </c>
      <c r="X253" s="199" t="s">
        <v>589</v>
      </c>
      <c r="Y253" s="185">
        <v>2427400</v>
      </c>
      <c r="Z253" s="200" t="s">
        <v>86</v>
      </c>
    </row>
    <row r="254" spans="1:26" s="7" customFormat="1" ht="12.75" customHeight="1" x14ac:dyDescent="0.2">
      <c r="A254" s="184" t="s">
        <v>83</v>
      </c>
      <c r="B254" s="185">
        <f t="shared" si="75"/>
        <v>62</v>
      </c>
      <c r="C254" s="186" t="s">
        <v>318</v>
      </c>
      <c r="D254" s="186" t="s">
        <v>88</v>
      </c>
      <c r="E254" s="187"/>
      <c r="F254" s="187">
        <f>942450000-865200000-77250000</f>
        <v>0</v>
      </c>
      <c r="G254" s="187"/>
      <c r="H254" s="188" t="s">
        <v>710</v>
      </c>
      <c r="I254" s="189" t="s">
        <v>319</v>
      </c>
      <c r="J254" s="206">
        <v>1</v>
      </c>
      <c r="K254" s="206">
        <v>2</v>
      </c>
      <c r="L254" s="206">
        <v>3</v>
      </c>
      <c r="M254" s="185">
        <f t="shared" si="67"/>
        <v>1</v>
      </c>
      <c r="N254" s="193" t="s">
        <v>36</v>
      </c>
      <c r="O254" s="194" t="s">
        <v>256</v>
      </c>
      <c r="P254" s="195">
        <f t="shared" si="68"/>
        <v>1</v>
      </c>
      <c r="Q254" s="196">
        <f t="shared" si="73"/>
        <v>0</v>
      </c>
      <c r="R254" s="196">
        <f t="shared" si="74"/>
        <v>0</v>
      </c>
      <c r="S254" s="197" t="s">
        <v>217</v>
      </c>
      <c r="T254" s="193">
        <f t="shared" si="69"/>
        <v>0</v>
      </c>
      <c r="U254" s="198" t="str">
        <f t="shared" si="70"/>
        <v>SUBDIRECCION DE GESTION CONTRACTUAL</v>
      </c>
      <c r="V254" s="185" t="str">
        <f t="shared" si="71"/>
        <v>CO-DC</v>
      </c>
      <c r="W254" s="198" t="str">
        <f t="shared" si="72"/>
        <v>Distrito Capital de Bogotá</v>
      </c>
      <c r="X254" s="199" t="s">
        <v>589</v>
      </c>
      <c r="Y254" s="185">
        <v>2427400</v>
      </c>
      <c r="Z254" s="200" t="s">
        <v>86</v>
      </c>
    </row>
    <row r="255" spans="1:26" s="7" customFormat="1" ht="12.75" customHeight="1" x14ac:dyDescent="0.2">
      <c r="A255" s="184" t="s">
        <v>83</v>
      </c>
      <c r="B255" s="185">
        <f t="shared" si="75"/>
        <v>63</v>
      </c>
      <c r="C255" s="186" t="s">
        <v>322</v>
      </c>
      <c r="D255" s="186" t="s">
        <v>323</v>
      </c>
      <c r="E255" s="187"/>
      <c r="F255" s="187">
        <f>198202843-198202843</f>
        <v>0</v>
      </c>
      <c r="G255" s="187"/>
      <c r="H255" s="188" t="s">
        <v>710</v>
      </c>
      <c r="I255" s="189" t="s">
        <v>319</v>
      </c>
      <c r="J255" s="206">
        <v>1</v>
      </c>
      <c r="K255" s="206">
        <v>2</v>
      </c>
      <c r="L255" s="206">
        <v>3</v>
      </c>
      <c r="M255" s="185">
        <f t="shared" si="67"/>
        <v>1</v>
      </c>
      <c r="N255" s="193" t="s">
        <v>36</v>
      </c>
      <c r="O255" s="194" t="s">
        <v>256</v>
      </c>
      <c r="P255" s="195">
        <f t="shared" si="68"/>
        <v>1</v>
      </c>
      <c r="Q255" s="196">
        <f t="shared" si="73"/>
        <v>0</v>
      </c>
      <c r="R255" s="196">
        <f t="shared" si="74"/>
        <v>0</v>
      </c>
      <c r="S255" s="197" t="s">
        <v>217</v>
      </c>
      <c r="T255" s="193">
        <f t="shared" si="69"/>
        <v>0</v>
      </c>
      <c r="U255" s="198" t="str">
        <f t="shared" si="70"/>
        <v>SUBDIRECCION DE GESTION CONTRACTUAL</v>
      </c>
      <c r="V255" s="185" t="str">
        <f t="shared" si="71"/>
        <v>CO-DC</v>
      </c>
      <c r="W255" s="198" t="str">
        <f t="shared" si="72"/>
        <v>Distrito Capital de Bogotá</v>
      </c>
      <c r="X255" s="199" t="s">
        <v>589</v>
      </c>
      <c r="Y255" s="185">
        <v>2427400</v>
      </c>
      <c r="Z255" s="200" t="s">
        <v>86</v>
      </c>
    </row>
    <row r="256" spans="1:26" s="7" customFormat="1" ht="12.75" customHeight="1" x14ac:dyDescent="0.2">
      <c r="A256" s="184" t="s">
        <v>83</v>
      </c>
      <c r="B256" s="185">
        <f t="shared" si="75"/>
        <v>64</v>
      </c>
      <c r="C256" s="186" t="s">
        <v>324</v>
      </c>
      <c r="D256" s="186" t="s">
        <v>325</v>
      </c>
      <c r="E256" s="187"/>
      <c r="F256" s="187">
        <f>80000000-80000000</f>
        <v>0</v>
      </c>
      <c r="G256" s="187"/>
      <c r="H256" s="188" t="s">
        <v>710</v>
      </c>
      <c r="I256" s="189" t="s">
        <v>319</v>
      </c>
      <c r="J256" s="206">
        <v>1</v>
      </c>
      <c r="K256" s="206">
        <v>2</v>
      </c>
      <c r="L256" s="206">
        <v>3</v>
      </c>
      <c r="M256" s="185">
        <f t="shared" ref="M256:M264" si="76">IF(ISBLANK(J256),"",1)</f>
        <v>1</v>
      </c>
      <c r="N256" s="193" t="s">
        <v>36</v>
      </c>
      <c r="O256" s="194" t="s">
        <v>256</v>
      </c>
      <c r="P256" s="195">
        <f t="shared" ref="P256:P264" si="77">IF(ISBLANK(N256),"",1)</f>
        <v>1</v>
      </c>
      <c r="Q256" s="196">
        <f t="shared" si="73"/>
        <v>0</v>
      </c>
      <c r="R256" s="196">
        <f t="shared" si="74"/>
        <v>0</v>
      </c>
      <c r="S256" s="197" t="s">
        <v>217</v>
      </c>
      <c r="T256" s="193">
        <f t="shared" ref="T256:T264" si="78">IF(ISBLANK(S256),"",IF(VALUE(S256)=0,0,IF(VALUE(S256)=1,3,"")))</f>
        <v>0</v>
      </c>
      <c r="U256" s="198" t="str">
        <f t="shared" ref="U256:U264" si="79">IF(ISBLANK(N256),"","SUBDIRECCION DE GESTION CONTRACTUAL")</f>
        <v>SUBDIRECCION DE GESTION CONTRACTUAL</v>
      </c>
      <c r="V256" s="185" t="str">
        <f t="shared" ref="V256:V264" si="80">IF(ISBLANK(N256),"","CO-DC")</f>
        <v>CO-DC</v>
      </c>
      <c r="W256" s="198" t="str">
        <f t="shared" ref="W256:W264" si="81">IF(ISBLANK(N256),"","Distrito Capital de Bogotá")</f>
        <v>Distrito Capital de Bogotá</v>
      </c>
      <c r="X256" s="199" t="s">
        <v>589</v>
      </c>
      <c r="Y256" s="185">
        <v>2427400</v>
      </c>
      <c r="Z256" s="200" t="s">
        <v>86</v>
      </c>
    </row>
    <row r="257" spans="1:26" s="7" customFormat="1" ht="12.75" customHeight="1" x14ac:dyDescent="0.2">
      <c r="A257" s="184" t="s">
        <v>83</v>
      </c>
      <c r="B257" s="185">
        <f t="shared" si="75"/>
        <v>65</v>
      </c>
      <c r="C257" s="186" t="s">
        <v>326</v>
      </c>
      <c r="D257" s="186" t="s">
        <v>327</v>
      </c>
      <c r="E257" s="187"/>
      <c r="F257" s="187">
        <f>200000000-200000000</f>
        <v>0</v>
      </c>
      <c r="G257" s="187"/>
      <c r="H257" s="188" t="s">
        <v>710</v>
      </c>
      <c r="I257" s="189" t="s">
        <v>319</v>
      </c>
      <c r="J257" s="206">
        <v>1</v>
      </c>
      <c r="K257" s="206">
        <v>2</v>
      </c>
      <c r="L257" s="206">
        <v>3</v>
      </c>
      <c r="M257" s="185">
        <f t="shared" si="76"/>
        <v>1</v>
      </c>
      <c r="N257" s="193" t="s">
        <v>36</v>
      </c>
      <c r="O257" s="194" t="s">
        <v>256</v>
      </c>
      <c r="P257" s="195">
        <f t="shared" si="77"/>
        <v>1</v>
      </c>
      <c r="Q257" s="196">
        <f t="shared" ref="Q257:Q262" si="82">+E257+F257+G257</f>
        <v>0</v>
      </c>
      <c r="R257" s="196">
        <f t="shared" ref="R257:R262" si="83">+F257</f>
        <v>0</v>
      </c>
      <c r="S257" s="197" t="s">
        <v>217</v>
      </c>
      <c r="T257" s="193">
        <f t="shared" si="78"/>
        <v>0</v>
      </c>
      <c r="U257" s="198" t="str">
        <f t="shared" si="79"/>
        <v>SUBDIRECCION DE GESTION CONTRACTUAL</v>
      </c>
      <c r="V257" s="185" t="str">
        <f t="shared" si="80"/>
        <v>CO-DC</v>
      </c>
      <c r="W257" s="198" t="str">
        <f t="shared" si="81"/>
        <v>Distrito Capital de Bogotá</v>
      </c>
      <c r="X257" s="199" t="s">
        <v>589</v>
      </c>
      <c r="Y257" s="185">
        <v>2427400</v>
      </c>
      <c r="Z257" s="200" t="s">
        <v>86</v>
      </c>
    </row>
    <row r="258" spans="1:26" s="7" customFormat="1" ht="12.75" customHeight="1" x14ac:dyDescent="0.2">
      <c r="A258" s="184" t="s">
        <v>83</v>
      </c>
      <c r="B258" s="185">
        <f t="shared" si="75"/>
        <v>66</v>
      </c>
      <c r="C258" s="186" t="s">
        <v>328</v>
      </c>
      <c r="D258" s="186" t="s">
        <v>327</v>
      </c>
      <c r="E258" s="187">
        <f>450800+262000</f>
        <v>712800</v>
      </c>
      <c r="F258" s="187">
        <f>70000000-70000000</f>
        <v>0</v>
      </c>
      <c r="G258" s="187"/>
      <c r="H258" s="188" t="s">
        <v>710</v>
      </c>
      <c r="I258" s="189" t="s">
        <v>319</v>
      </c>
      <c r="J258" s="206">
        <v>1</v>
      </c>
      <c r="K258" s="206">
        <v>2</v>
      </c>
      <c r="L258" s="206">
        <v>3</v>
      </c>
      <c r="M258" s="185">
        <f t="shared" si="76"/>
        <v>1</v>
      </c>
      <c r="N258" s="193" t="s">
        <v>36</v>
      </c>
      <c r="O258" s="194" t="s">
        <v>256</v>
      </c>
      <c r="P258" s="195">
        <f t="shared" si="77"/>
        <v>1</v>
      </c>
      <c r="Q258" s="196">
        <f t="shared" si="82"/>
        <v>712800</v>
      </c>
      <c r="R258" s="196">
        <f t="shared" si="83"/>
        <v>0</v>
      </c>
      <c r="S258" s="197" t="s">
        <v>217</v>
      </c>
      <c r="T258" s="193">
        <f t="shared" si="78"/>
        <v>0</v>
      </c>
      <c r="U258" s="198" t="str">
        <f t="shared" si="79"/>
        <v>SUBDIRECCION DE GESTION CONTRACTUAL</v>
      </c>
      <c r="V258" s="185" t="str">
        <f t="shared" si="80"/>
        <v>CO-DC</v>
      </c>
      <c r="W258" s="198" t="str">
        <f t="shared" si="81"/>
        <v>Distrito Capital de Bogotá</v>
      </c>
      <c r="X258" s="199" t="s">
        <v>589</v>
      </c>
      <c r="Y258" s="185">
        <v>2427400</v>
      </c>
      <c r="Z258" s="200" t="s">
        <v>86</v>
      </c>
    </row>
    <row r="259" spans="1:26" s="7" customFormat="1" ht="12.75" customHeight="1" x14ac:dyDescent="0.2">
      <c r="A259" s="184" t="s">
        <v>83</v>
      </c>
      <c r="B259" s="185">
        <f t="shared" si="75"/>
        <v>67</v>
      </c>
      <c r="C259" s="186" t="s">
        <v>329</v>
      </c>
      <c r="D259" s="186" t="s">
        <v>330</v>
      </c>
      <c r="E259" s="187">
        <f>861800-E258</f>
        <v>149000</v>
      </c>
      <c r="F259" s="187">
        <v>0</v>
      </c>
      <c r="G259" s="187"/>
      <c r="H259" s="188" t="s">
        <v>710</v>
      </c>
      <c r="I259" s="189" t="s">
        <v>319</v>
      </c>
      <c r="J259" s="206">
        <v>1</v>
      </c>
      <c r="K259" s="206">
        <v>2</v>
      </c>
      <c r="L259" s="206">
        <v>3</v>
      </c>
      <c r="M259" s="185">
        <f t="shared" si="76"/>
        <v>1</v>
      </c>
      <c r="N259" s="193" t="s">
        <v>36</v>
      </c>
      <c r="O259" s="194" t="s">
        <v>256</v>
      </c>
      <c r="P259" s="195">
        <f t="shared" si="77"/>
        <v>1</v>
      </c>
      <c r="Q259" s="196">
        <f t="shared" si="82"/>
        <v>149000</v>
      </c>
      <c r="R259" s="196">
        <f t="shared" si="83"/>
        <v>0</v>
      </c>
      <c r="S259" s="197" t="s">
        <v>217</v>
      </c>
      <c r="T259" s="193">
        <f t="shared" si="78"/>
        <v>0</v>
      </c>
      <c r="U259" s="198" t="str">
        <f t="shared" si="79"/>
        <v>SUBDIRECCION DE GESTION CONTRACTUAL</v>
      </c>
      <c r="V259" s="185" t="str">
        <f t="shared" si="80"/>
        <v>CO-DC</v>
      </c>
      <c r="W259" s="198" t="str">
        <f t="shared" si="81"/>
        <v>Distrito Capital de Bogotá</v>
      </c>
      <c r="X259" s="199" t="s">
        <v>589</v>
      </c>
      <c r="Y259" s="185">
        <v>2427400</v>
      </c>
      <c r="Z259" s="200" t="s">
        <v>86</v>
      </c>
    </row>
    <row r="260" spans="1:26" s="7" customFormat="1" ht="12.75" customHeight="1" x14ac:dyDescent="0.2">
      <c r="A260" s="184" t="s">
        <v>83</v>
      </c>
      <c r="B260" s="185">
        <f t="shared" si="75"/>
        <v>68</v>
      </c>
      <c r="C260" s="186" t="s">
        <v>332</v>
      </c>
      <c r="D260" s="186" t="s">
        <v>87</v>
      </c>
      <c r="E260" s="187"/>
      <c r="F260" s="187">
        <f>380000-380000</f>
        <v>0</v>
      </c>
      <c r="G260" s="187"/>
      <c r="H260" s="188" t="s">
        <v>710</v>
      </c>
      <c r="I260" s="189" t="s">
        <v>319</v>
      </c>
      <c r="J260" s="206">
        <v>1</v>
      </c>
      <c r="K260" s="206">
        <v>2</v>
      </c>
      <c r="L260" s="206">
        <v>3</v>
      </c>
      <c r="M260" s="185">
        <f t="shared" si="76"/>
        <v>1</v>
      </c>
      <c r="N260" s="193" t="s">
        <v>36</v>
      </c>
      <c r="O260" s="194" t="s">
        <v>256</v>
      </c>
      <c r="P260" s="195">
        <f t="shared" si="77"/>
        <v>1</v>
      </c>
      <c r="Q260" s="196">
        <f t="shared" si="82"/>
        <v>0</v>
      </c>
      <c r="R260" s="196">
        <f t="shared" si="83"/>
        <v>0</v>
      </c>
      <c r="S260" s="197" t="s">
        <v>217</v>
      </c>
      <c r="T260" s="193">
        <f t="shared" si="78"/>
        <v>0</v>
      </c>
      <c r="U260" s="198" t="str">
        <f t="shared" si="79"/>
        <v>SUBDIRECCION DE GESTION CONTRACTUAL</v>
      </c>
      <c r="V260" s="185" t="str">
        <f t="shared" si="80"/>
        <v>CO-DC</v>
      </c>
      <c r="W260" s="198" t="str">
        <f t="shared" si="81"/>
        <v>Distrito Capital de Bogotá</v>
      </c>
      <c r="X260" s="199" t="s">
        <v>589</v>
      </c>
      <c r="Y260" s="185">
        <v>2427400</v>
      </c>
      <c r="Z260" s="200" t="s">
        <v>86</v>
      </c>
    </row>
    <row r="261" spans="1:26" s="7" customFormat="1" ht="12.75" customHeight="1" x14ac:dyDescent="0.2">
      <c r="A261" s="184" t="s">
        <v>83</v>
      </c>
      <c r="B261" s="185">
        <f t="shared" si="75"/>
        <v>69</v>
      </c>
      <c r="C261" s="186" t="s">
        <v>333</v>
      </c>
      <c r="D261" s="186" t="s">
        <v>87</v>
      </c>
      <c r="E261" s="187"/>
      <c r="F261" s="187">
        <f>60000000-60000000</f>
        <v>0</v>
      </c>
      <c r="G261" s="187"/>
      <c r="H261" s="188" t="s">
        <v>710</v>
      </c>
      <c r="I261" s="189" t="s">
        <v>319</v>
      </c>
      <c r="J261" s="206">
        <v>1</v>
      </c>
      <c r="K261" s="206">
        <v>2</v>
      </c>
      <c r="L261" s="206">
        <v>3</v>
      </c>
      <c r="M261" s="185">
        <f t="shared" si="76"/>
        <v>1</v>
      </c>
      <c r="N261" s="193" t="s">
        <v>36</v>
      </c>
      <c r="O261" s="194" t="s">
        <v>256</v>
      </c>
      <c r="P261" s="195">
        <f t="shared" si="77"/>
        <v>1</v>
      </c>
      <c r="Q261" s="196">
        <f t="shared" si="82"/>
        <v>0</v>
      </c>
      <c r="R261" s="196">
        <f t="shared" si="83"/>
        <v>0</v>
      </c>
      <c r="S261" s="197" t="s">
        <v>217</v>
      </c>
      <c r="T261" s="193">
        <f t="shared" si="78"/>
        <v>0</v>
      </c>
      <c r="U261" s="198" t="str">
        <f t="shared" si="79"/>
        <v>SUBDIRECCION DE GESTION CONTRACTUAL</v>
      </c>
      <c r="V261" s="185" t="str">
        <f t="shared" si="80"/>
        <v>CO-DC</v>
      </c>
      <c r="W261" s="198" t="str">
        <f t="shared" si="81"/>
        <v>Distrito Capital de Bogotá</v>
      </c>
      <c r="X261" s="199" t="s">
        <v>589</v>
      </c>
      <c r="Y261" s="185">
        <v>2427400</v>
      </c>
      <c r="Z261" s="200" t="s">
        <v>86</v>
      </c>
    </row>
    <row r="262" spans="1:26" s="7" customFormat="1" ht="12.75" customHeight="1" x14ac:dyDescent="0.2">
      <c r="A262" s="184" t="s">
        <v>83</v>
      </c>
      <c r="B262" s="185">
        <f t="shared" si="75"/>
        <v>70</v>
      </c>
      <c r="C262" s="186" t="s">
        <v>334</v>
      </c>
      <c r="D262" s="186" t="s">
        <v>335</v>
      </c>
      <c r="E262" s="187"/>
      <c r="F262" s="187">
        <f>163647055-163647055</f>
        <v>0</v>
      </c>
      <c r="G262" s="187"/>
      <c r="H262" s="188" t="s">
        <v>710</v>
      </c>
      <c r="I262" s="189" t="s">
        <v>319</v>
      </c>
      <c r="J262" s="206">
        <v>1</v>
      </c>
      <c r="K262" s="206">
        <v>2</v>
      </c>
      <c r="L262" s="206">
        <v>3</v>
      </c>
      <c r="M262" s="185">
        <f t="shared" si="76"/>
        <v>1</v>
      </c>
      <c r="N262" s="193" t="s">
        <v>36</v>
      </c>
      <c r="O262" s="194" t="s">
        <v>256</v>
      </c>
      <c r="P262" s="195">
        <f t="shared" si="77"/>
        <v>1</v>
      </c>
      <c r="Q262" s="196">
        <f t="shared" si="82"/>
        <v>0</v>
      </c>
      <c r="R262" s="196">
        <f t="shared" si="83"/>
        <v>0</v>
      </c>
      <c r="S262" s="197" t="s">
        <v>217</v>
      </c>
      <c r="T262" s="193">
        <f t="shared" si="78"/>
        <v>0</v>
      </c>
      <c r="U262" s="198" t="str">
        <f t="shared" si="79"/>
        <v>SUBDIRECCION DE GESTION CONTRACTUAL</v>
      </c>
      <c r="V262" s="185" t="str">
        <f t="shared" si="80"/>
        <v>CO-DC</v>
      </c>
      <c r="W262" s="198" t="str">
        <f t="shared" si="81"/>
        <v>Distrito Capital de Bogotá</v>
      </c>
      <c r="X262" s="199" t="s">
        <v>589</v>
      </c>
      <c r="Y262" s="185">
        <v>2427400</v>
      </c>
      <c r="Z262" s="200" t="s">
        <v>86</v>
      </c>
    </row>
    <row r="263" spans="1:26" s="7" customFormat="1" ht="12.75" customHeight="1" x14ac:dyDescent="0.2">
      <c r="A263" s="184" t="s">
        <v>83</v>
      </c>
      <c r="B263" s="185">
        <v>71</v>
      </c>
      <c r="C263" s="186" t="s">
        <v>334</v>
      </c>
      <c r="D263" s="186" t="s">
        <v>335</v>
      </c>
      <c r="E263" s="187"/>
      <c r="F263" s="187">
        <f>653284447-653284447</f>
        <v>0</v>
      </c>
      <c r="G263" s="187"/>
      <c r="H263" s="188" t="s">
        <v>875</v>
      </c>
      <c r="I263" s="189" t="s">
        <v>879</v>
      </c>
      <c r="J263" s="190">
        <v>7</v>
      </c>
      <c r="K263" s="190">
        <v>7</v>
      </c>
      <c r="L263" s="192">
        <v>5</v>
      </c>
      <c r="M263" s="185">
        <f t="shared" si="76"/>
        <v>1</v>
      </c>
      <c r="N263" s="193" t="s">
        <v>36</v>
      </c>
      <c r="O263" s="194" t="s">
        <v>256</v>
      </c>
      <c r="P263" s="195">
        <f t="shared" si="77"/>
        <v>1</v>
      </c>
      <c r="Q263" s="196" t="str">
        <f>IF(VALUE(E263+F263+G263)=0,"",E263+F263+G263)</f>
        <v/>
      </c>
      <c r="R263" s="196" t="str">
        <f>IF(VALUE(F263)=0,"",F263)</f>
        <v/>
      </c>
      <c r="S263" s="197" t="s">
        <v>217</v>
      </c>
      <c r="T263" s="193">
        <f t="shared" si="78"/>
        <v>0</v>
      </c>
      <c r="U263" s="198" t="str">
        <f t="shared" si="79"/>
        <v>SUBDIRECCION DE GESTION CONTRACTUAL</v>
      </c>
      <c r="V263" s="185" t="str">
        <f t="shared" si="80"/>
        <v>CO-DC</v>
      </c>
      <c r="W263" s="198" t="str">
        <f t="shared" si="81"/>
        <v>Distrito Capital de Bogotá</v>
      </c>
      <c r="X263" s="199" t="s">
        <v>589</v>
      </c>
      <c r="Y263" s="185">
        <v>2427400</v>
      </c>
      <c r="Z263" s="200" t="s">
        <v>86</v>
      </c>
    </row>
    <row r="264" spans="1:26" s="7" customFormat="1" ht="12.75" customHeight="1" x14ac:dyDescent="0.2">
      <c r="A264" s="184" t="s">
        <v>83</v>
      </c>
      <c r="B264" s="185">
        <v>72</v>
      </c>
      <c r="C264" s="186" t="s">
        <v>334</v>
      </c>
      <c r="D264" s="186" t="s">
        <v>335</v>
      </c>
      <c r="E264" s="187"/>
      <c r="F264" s="187">
        <v>29000000</v>
      </c>
      <c r="G264" s="187"/>
      <c r="H264" s="188" t="s">
        <v>91</v>
      </c>
      <c r="I264" s="189" t="s">
        <v>806</v>
      </c>
      <c r="J264" s="190">
        <v>5</v>
      </c>
      <c r="K264" s="266">
        <v>6</v>
      </c>
      <c r="L264" s="192">
        <v>6</v>
      </c>
      <c r="M264" s="185">
        <f t="shared" si="76"/>
        <v>1</v>
      </c>
      <c r="N264" s="193" t="s">
        <v>36</v>
      </c>
      <c r="O264" s="194" t="s">
        <v>256</v>
      </c>
      <c r="P264" s="195">
        <f t="shared" si="77"/>
        <v>1</v>
      </c>
      <c r="Q264" s="196">
        <f>IF(VALUE(E264+F264+G264)=0,"",E264+F264+G264)</f>
        <v>29000000</v>
      </c>
      <c r="R264" s="196">
        <f>IF(VALUE(F264)=0,"",F264)</f>
        <v>29000000</v>
      </c>
      <c r="S264" s="197" t="s">
        <v>217</v>
      </c>
      <c r="T264" s="193">
        <f t="shared" si="78"/>
        <v>0</v>
      </c>
      <c r="U264" s="198" t="str">
        <f t="shared" si="79"/>
        <v>SUBDIRECCION DE GESTION CONTRACTUAL</v>
      </c>
      <c r="V264" s="185" t="str">
        <f t="shared" si="80"/>
        <v>CO-DC</v>
      </c>
      <c r="W264" s="198" t="str">
        <f t="shared" si="81"/>
        <v>Distrito Capital de Bogotá</v>
      </c>
      <c r="X264" s="199" t="s">
        <v>589</v>
      </c>
      <c r="Y264" s="185">
        <v>2427400</v>
      </c>
      <c r="Z264" s="200" t="s">
        <v>86</v>
      </c>
    </row>
    <row r="265" spans="1:26" s="7" customFormat="1" ht="14.25" x14ac:dyDescent="0.2">
      <c r="A265" s="184" t="s">
        <v>83</v>
      </c>
      <c r="B265" s="185">
        <v>73</v>
      </c>
      <c r="C265" s="186" t="s">
        <v>333</v>
      </c>
      <c r="D265" s="186" t="s">
        <v>87</v>
      </c>
      <c r="E265" s="187"/>
      <c r="F265" s="187">
        <v>30000000</v>
      </c>
      <c r="G265" s="187"/>
      <c r="H265" s="188" t="s">
        <v>384</v>
      </c>
      <c r="I265" s="189" t="s">
        <v>1012</v>
      </c>
      <c r="J265" s="190">
        <v>2</v>
      </c>
      <c r="K265" s="266">
        <v>3</v>
      </c>
      <c r="L265" s="192">
        <v>9</v>
      </c>
      <c r="M265" s="185">
        <v>1</v>
      </c>
      <c r="N265" s="193" t="s">
        <v>43</v>
      </c>
      <c r="O265" s="194" t="s">
        <v>44</v>
      </c>
      <c r="P265" s="195">
        <v>1</v>
      </c>
      <c r="Q265" s="196">
        <f>IF(VALUE(E265+F265+G265)=0,"",E265+F265+G265)</f>
        <v>30000000</v>
      </c>
      <c r="R265" s="196">
        <f>IF(VALUE(F265)=0,"",F265)</f>
        <v>30000000</v>
      </c>
      <c r="S265" s="197" t="s">
        <v>217</v>
      </c>
      <c r="T265" s="193">
        <v>0</v>
      </c>
      <c r="U265" s="198" t="s">
        <v>37</v>
      </c>
      <c r="V265" s="185" t="s">
        <v>39</v>
      </c>
      <c r="W265" s="198" t="s">
        <v>38</v>
      </c>
      <c r="X265" s="199" t="s">
        <v>589</v>
      </c>
      <c r="Y265" s="185">
        <v>2427400</v>
      </c>
      <c r="Z265" s="200" t="s">
        <v>86</v>
      </c>
    </row>
    <row r="266" spans="1:26" s="7" customFormat="1" ht="14.25" x14ac:dyDescent="0.2">
      <c r="A266" s="184" t="s">
        <v>83</v>
      </c>
      <c r="B266" s="185">
        <v>74</v>
      </c>
      <c r="C266" s="186" t="s">
        <v>333</v>
      </c>
      <c r="D266" s="186" t="s">
        <v>87</v>
      </c>
      <c r="E266" s="187"/>
      <c r="F266" s="187">
        <v>154400000</v>
      </c>
      <c r="G266" s="187"/>
      <c r="H266" s="188" t="s">
        <v>101</v>
      </c>
      <c r="I266" s="189" t="s">
        <v>331</v>
      </c>
      <c r="J266" s="190">
        <v>2</v>
      </c>
      <c r="K266" s="266">
        <v>3</v>
      </c>
      <c r="L266" s="192">
        <v>10</v>
      </c>
      <c r="M266" s="185">
        <v>1</v>
      </c>
      <c r="N266" s="193" t="s">
        <v>36</v>
      </c>
      <c r="O266" s="194" t="s">
        <v>256</v>
      </c>
      <c r="P266" s="195">
        <v>1</v>
      </c>
      <c r="Q266" s="196">
        <f>IF(VALUE(E266+F266+G266)=0,"",E266+F266+G266)</f>
        <v>154400000</v>
      </c>
      <c r="R266" s="196">
        <f>IF(VALUE(F266)=0,"",F266)</f>
        <v>154400000</v>
      </c>
      <c r="S266" s="197" t="s">
        <v>218</v>
      </c>
      <c r="T266" s="193">
        <v>3</v>
      </c>
      <c r="U266" s="198" t="s">
        <v>37</v>
      </c>
      <c r="V266" s="185" t="s">
        <v>39</v>
      </c>
      <c r="W266" s="198" t="s">
        <v>38</v>
      </c>
      <c r="X266" s="199" t="s">
        <v>589</v>
      </c>
      <c r="Y266" s="185">
        <v>2427400</v>
      </c>
      <c r="Z266" s="200" t="s">
        <v>86</v>
      </c>
    </row>
    <row r="267" spans="1:26" s="7" customFormat="1" ht="12.75" customHeight="1" x14ac:dyDescent="0.2">
      <c r="A267" s="184" t="s">
        <v>97</v>
      </c>
      <c r="B267" s="185">
        <v>1</v>
      </c>
      <c r="C267" s="186" t="s">
        <v>337</v>
      </c>
      <c r="D267" s="186" t="s">
        <v>98</v>
      </c>
      <c r="E267" s="187"/>
      <c r="F267" s="187">
        <f>494415925+5000000</f>
        <v>499415925</v>
      </c>
      <c r="G267" s="187"/>
      <c r="H267" s="188">
        <v>80111600</v>
      </c>
      <c r="I267" s="189" t="s">
        <v>338</v>
      </c>
      <c r="J267" s="206">
        <v>1</v>
      </c>
      <c r="K267" s="206">
        <v>1</v>
      </c>
      <c r="L267" s="206">
        <v>12</v>
      </c>
      <c r="M267" s="185">
        <f t="shared" ref="M267:M284" si="84">IF(ISBLANK(J267),"",1)</f>
        <v>1</v>
      </c>
      <c r="N267" s="193" t="s">
        <v>210</v>
      </c>
      <c r="O267" s="194" t="s">
        <v>264</v>
      </c>
      <c r="P267" s="195">
        <f>IF(ISBLANK(N267),"",1)</f>
        <v>1</v>
      </c>
      <c r="Q267" s="196">
        <f t="shared" ref="Q267:Q298" si="85">+E267+F267+G267</f>
        <v>499415925</v>
      </c>
      <c r="R267" s="196">
        <f t="shared" ref="R267:R298" si="86">+F267</f>
        <v>499415925</v>
      </c>
      <c r="S267" s="197" t="s">
        <v>217</v>
      </c>
      <c r="T267" s="193">
        <f>IF(ISBLANK(S267),"",IF(VALUE(S267)=0,0,IF(VALUE(S267)=1,3,"")))</f>
        <v>0</v>
      </c>
      <c r="U267" s="198" t="str">
        <f t="shared" ref="U267:U330" si="87">IF(ISBLANK(N267),"","SUBDIRECCION DE GESTION CONTRACTUAL")</f>
        <v>SUBDIRECCION DE GESTION CONTRACTUAL</v>
      </c>
      <c r="V267" s="185" t="str">
        <f t="shared" ref="V267:V330" si="88">IF(ISBLANK(N267),"","CO-DC")</f>
        <v>CO-DC</v>
      </c>
      <c r="W267" s="198" t="str">
        <f t="shared" ref="W267:W330" si="89">IF(ISBLANK(N267),"","Distrito Capital de Bogotá")</f>
        <v>Distrito Capital de Bogotá</v>
      </c>
      <c r="X267" s="199" t="s">
        <v>103</v>
      </c>
      <c r="Y267" s="202">
        <v>2427400</v>
      </c>
      <c r="Z267" s="200" t="s">
        <v>339</v>
      </c>
    </row>
    <row r="268" spans="1:26" s="7" customFormat="1" ht="12.75" customHeight="1" x14ac:dyDescent="0.2">
      <c r="A268" s="184" t="s">
        <v>97</v>
      </c>
      <c r="B268" s="185">
        <v>2</v>
      </c>
      <c r="C268" s="186" t="s">
        <v>337</v>
      </c>
      <c r="D268" s="186" t="s">
        <v>98</v>
      </c>
      <c r="E268" s="187"/>
      <c r="F268" s="187">
        <f>10000000-5000000</f>
        <v>5000000</v>
      </c>
      <c r="G268" s="187"/>
      <c r="H268" s="188" t="s">
        <v>710</v>
      </c>
      <c r="I268" s="189" t="s">
        <v>340</v>
      </c>
      <c r="J268" s="190">
        <v>2</v>
      </c>
      <c r="K268" s="191">
        <v>3</v>
      </c>
      <c r="L268" s="192">
        <v>9</v>
      </c>
      <c r="M268" s="185">
        <f t="shared" si="84"/>
        <v>1</v>
      </c>
      <c r="N268" s="193" t="s">
        <v>221</v>
      </c>
      <c r="O268" s="194" t="s">
        <v>903</v>
      </c>
      <c r="P268" s="195">
        <v>1</v>
      </c>
      <c r="Q268" s="196">
        <f t="shared" si="85"/>
        <v>5000000</v>
      </c>
      <c r="R268" s="196">
        <f t="shared" si="86"/>
        <v>5000000</v>
      </c>
      <c r="S268" s="197" t="s">
        <v>217</v>
      </c>
      <c r="T268" s="193">
        <v>0</v>
      </c>
      <c r="U268" s="198" t="str">
        <f t="shared" si="87"/>
        <v>SUBDIRECCION DE GESTION CONTRACTUAL</v>
      </c>
      <c r="V268" s="185" t="str">
        <f t="shared" si="88"/>
        <v>CO-DC</v>
      </c>
      <c r="W268" s="198" t="str">
        <f t="shared" si="89"/>
        <v>Distrito Capital de Bogotá</v>
      </c>
      <c r="X268" s="199" t="s">
        <v>103</v>
      </c>
      <c r="Y268" s="202">
        <v>2427400</v>
      </c>
      <c r="Z268" s="200" t="s">
        <v>339</v>
      </c>
    </row>
    <row r="269" spans="1:26" s="7" customFormat="1" ht="12.75" customHeight="1" x14ac:dyDescent="0.25">
      <c r="A269" s="184" t="s">
        <v>97</v>
      </c>
      <c r="B269" s="185">
        <v>3</v>
      </c>
      <c r="C269" s="186" t="s">
        <v>337</v>
      </c>
      <c r="D269" s="186" t="s">
        <v>98</v>
      </c>
      <c r="E269" s="187"/>
      <c r="F269" s="187">
        <v>50000000</v>
      </c>
      <c r="G269" s="187"/>
      <c r="H269" s="188" t="s">
        <v>117</v>
      </c>
      <c r="I269" s="189" t="s">
        <v>778</v>
      </c>
      <c r="J269" s="206">
        <v>6</v>
      </c>
      <c r="K269" s="206">
        <v>6</v>
      </c>
      <c r="L269" s="206">
        <v>6</v>
      </c>
      <c r="M269" s="185">
        <f t="shared" si="84"/>
        <v>1</v>
      </c>
      <c r="N269" s="193" t="s">
        <v>210</v>
      </c>
      <c r="O269" s="194" t="s">
        <v>264</v>
      </c>
      <c r="P269" s="195">
        <v>1</v>
      </c>
      <c r="Q269" s="196">
        <f t="shared" si="85"/>
        <v>50000000</v>
      </c>
      <c r="R269" s="196">
        <f t="shared" si="86"/>
        <v>50000000</v>
      </c>
      <c r="S269" s="197" t="s">
        <v>217</v>
      </c>
      <c r="T269" s="193">
        <v>0</v>
      </c>
      <c r="U269" s="198" t="str">
        <f t="shared" si="87"/>
        <v>SUBDIRECCION DE GESTION CONTRACTUAL</v>
      </c>
      <c r="V269" s="185" t="str">
        <f t="shared" si="88"/>
        <v>CO-DC</v>
      </c>
      <c r="W269" s="198" t="str">
        <f t="shared" si="89"/>
        <v>Distrito Capital de Bogotá</v>
      </c>
      <c r="X269" s="199" t="s">
        <v>883</v>
      </c>
      <c r="Y269" s="185" t="s">
        <v>884</v>
      </c>
      <c r="Z269" s="125" t="s">
        <v>885</v>
      </c>
    </row>
    <row r="270" spans="1:26" s="7" customFormat="1" ht="12.75" customHeight="1" x14ac:dyDescent="0.2">
      <c r="A270" s="184" t="s">
        <v>97</v>
      </c>
      <c r="B270" s="185">
        <v>4</v>
      </c>
      <c r="C270" s="186" t="s">
        <v>337</v>
      </c>
      <c r="D270" s="186" t="s">
        <v>98</v>
      </c>
      <c r="E270" s="187"/>
      <c r="F270" s="187">
        <v>160000000</v>
      </c>
      <c r="G270" s="187"/>
      <c r="H270" s="188" t="s">
        <v>821</v>
      </c>
      <c r="I270" s="203" t="s">
        <v>824</v>
      </c>
      <c r="J270" s="206">
        <v>2</v>
      </c>
      <c r="K270" s="206">
        <v>3</v>
      </c>
      <c r="L270" s="206">
        <v>4</v>
      </c>
      <c r="M270" s="185">
        <f t="shared" si="84"/>
        <v>1</v>
      </c>
      <c r="N270" s="193" t="s">
        <v>36</v>
      </c>
      <c r="O270" s="194" t="s">
        <v>256</v>
      </c>
      <c r="P270" s="195">
        <v>1</v>
      </c>
      <c r="Q270" s="196">
        <f t="shared" si="85"/>
        <v>160000000</v>
      </c>
      <c r="R270" s="196">
        <f t="shared" si="86"/>
        <v>160000000</v>
      </c>
      <c r="S270" s="197" t="s">
        <v>217</v>
      </c>
      <c r="T270" s="193">
        <v>0</v>
      </c>
      <c r="U270" s="198" t="str">
        <f t="shared" si="87"/>
        <v>SUBDIRECCION DE GESTION CONTRACTUAL</v>
      </c>
      <c r="V270" s="185" t="str">
        <f t="shared" si="88"/>
        <v>CO-DC</v>
      </c>
      <c r="W270" s="198" t="str">
        <f t="shared" si="89"/>
        <v>Distrito Capital de Bogotá</v>
      </c>
      <c r="X270" s="199" t="s">
        <v>103</v>
      </c>
      <c r="Y270" s="202">
        <v>2427400</v>
      </c>
      <c r="Z270" s="200" t="s">
        <v>339</v>
      </c>
    </row>
    <row r="271" spans="1:26" s="7" customFormat="1" ht="12.75" customHeight="1" x14ac:dyDescent="0.2">
      <c r="A271" s="184" t="s">
        <v>97</v>
      </c>
      <c r="B271" s="185">
        <v>5</v>
      </c>
      <c r="C271" s="186" t="s">
        <v>342</v>
      </c>
      <c r="D271" s="186" t="s">
        <v>98</v>
      </c>
      <c r="E271" s="187"/>
      <c r="F271" s="187">
        <f>637415925+35000000-5587264</f>
        <v>666828661</v>
      </c>
      <c r="G271" s="187"/>
      <c r="H271" s="188">
        <v>80111600</v>
      </c>
      <c r="I271" s="189" t="s">
        <v>338</v>
      </c>
      <c r="J271" s="206">
        <v>1</v>
      </c>
      <c r="K271" s="206">
        <v>1</v>
      </c>
      <c r="L271" s="206">
        <v>12</v>
      </c>
      <c r="M271" s="185">
        <f t="shared" si="84"/>
        <v>1</v>
      </c>
      <c r="N271" s="193" t="s">
        <v>210</v>
      </c>
      <c r="O271" s="194" t="s">
        <v>264</v>
      </c>
      <c r="P271" s="195">
        <f>IF(ISBLANK(N271),"",1)</f>
        <v>1</v>
      </c>
      <c r="Q271" s="196">
        <f t="shared" si="85"/>
        <v>666828661</v>
      </c>
      <c r="R271" s="196">
        <f t="shared" si="86"/>
        <v>666828661</v>
      </c>
      <c r="S271" s="197" t="s">
        <v>217</v>
      </c>
      <c r="T271" s="193">
        <f>IF(ISBLANK(S271),"",IF(VALUE(S271)=0,0,IF(VALUE(S271)=1,3,"")))</f>
        <v>0</v>
      </c>
      <c r="U271" s="198" t="str">
        <f t="shared" si="87"/>
        <v>SUBDIRECCION DE GESTION CONTRACTUAL</v>
      </c>
      <c r="V271" s="185" t="str">
        <f t="shared" si="88"/>
        <v>CO-DC</v>
      </c>
      <c r="W271" s="198" t="str">
        <f t="shared" si="89"/>
        <v>Distrito Capital de Bogotá</v>
      </c>
      <c r="X271" s="199" t="s">
        <v>103</v>
      </c>
      <c r="Y271" s="202">
        <v>2427400</v>
      </c>
      <c r="Z271" s="200" t="s">
        <v>339</v>
      </c>
    </row>
    <row r="272" spans="1:26" s="7" customFormat="1" ht="12.75" customHeight="1" x14ac:dyDescent="0.2">
      <c r="A272" s="184" t="s">
        <v>97</v>
      </c>
      <c r="B272" s="185">
        <v>6</v>
      </c>
      <c r="C272" s="186" t="s">
        <v>342</v>
      </c>
      <c r="D272" s="186" t="s">
        <v>98</v>
      </c>
      <c r="E272" s="187"/>
      <c r="F272" s="187">
        <f>50000000+20407410</f>
        <v>70407410</v>
      </c>
      <c r="G272" s="187"/>
      <c r="H272" s="188" t="s">
        <v>42</v>
      </c>
      <c r="I272" s="189" t="s">
        <v>343</v>
      </c>
      <c r="J272" s="190">
        <v>3</v>
      </c>
      <c r="K272" s="191">
        <v>4</v>
      </c>
      <c r="L272" s="192">
        <v>9</v>
      </c>
      <c r="M272" s="185">
        <f t="shared" si="84"/>
        <v>1</v>
      </c>
      <c r="N272" s="193" t="s">
        <v>61</v>
      </c>
      <c r="O272" s="194" t="s">
        <v>902</v>
      </c>
      <c r="P272" s="195">
        <v>1</v>
      </c>
      <c r="Q272" s="196">
        <f t="shared" si="85"/>
        <v>70407410</v>
      </c>
      <c r="R272" s="196">
        <f t="shared" si="86"/>
        <v>70407410</v>
      </c>
      <c r="S272" s="197" t="s">
        <v>217</v>
      </c>
      <c r="T272" s="193">
        <v>0</v>
      </c>
      <c r="U272" s="198" t="str">
        <f t="shared" si="87"/>
        <v>SUBDIRECCION DE GESTION CONTRACTUAL</v>
      </c>
      <c r="V272" s="185" t="str">
        <f t="shared" si="88"/>
        <v>CO-DC</v>
      </c>
      <c r="W272" s="198" t="str">
        <f t="shared" si="89"/>
        <v>Distrito Capital de Bogotá</v>
      </c>
      <c r="X272" s="199" t="s">
        <v>103</v>
      </c>
      <c r="Y272" s="202">
        <v>2427400</v>
      </c>
      <c r="Z272" s="200" t="s">
        <v>339</v>
      </c>
    </row>
    <row r="273" spans="1:26" s="7" customFormat="1" ht="12.75" customHeight="1" x14ac:dyDescent="0.2">
      <c r="A273" s="184" t="s">
        <v>97</v>
      </c>
      <c r="B273" s="185">
        <v>7</v>
      </c>
      <c r="C273" s="186" t="s">
        <v>342</v>
      </c>
      <c r="D273" s="186" t="s">
        <v>98</v>
      </c>
      <c r="E273" s="187"/>
      <c r="F273" s="187">
        <f>170000000-35000000</f>
        <v>135000000</v>
      </c>
      <c r="G273" s="187"/>
      <c r="H273" s="188" t="s">
        <v>710</v>
      </c>
      <c r="I273" s="189" t="s">
        <v>340</v>
      </c>
      <c r="J273" s="190">
        <v>2</v>
      </c>
      <c r="K273" s="191">
        <v>3</v>
      </c>
      <c r="L273" s="192">
        <v>9</v>
      </c>
      <c r="M273" s="185">
        <f t="shared" si="84"/>
        <v>1</v>
      </c>
      <c r="N273" s="193" t="s">
        <v>221</v>
      </c>
      <c r="O273" s="194" t="s">
        <v>903</v>
      </c>
      <c r="P273" s="195">
        <v>1</v>
      </c>
      <c r="Q273" s="196">
        <f t="shared" si="85"/>
        <v>135000000</v>
      </c>
      <c r="R273" s="196">
        <f t="shared" si="86"/>
        <v>135000000</v>
      </c>
      <c r="S273" s="197" t="s">
        <v>217</v>
      </c>
      <c r="T273" s="193">
        <v>0</v>
      </c>
      <c r="U273" s="198" t="str">
        <f t="shared" si="87"/>
        <v>SUBDIRECCION DE GESTION CONTRACTUAL</v>
      </c>
      <c r="V273" s="185" t="str">
        <f t="shared" si="88"/>
        <v>CO-DC</v>
      </c>
      <c r="W273" s="198" t="str">
        <f t="shared" si="89"/>
        <v>Distrito Capital de Bogotá</v>
      </c>
      <c r="X273" s="199" t="s">
        <v>103</v>
      </c>
      <c r="Y273" s="202">
        <v>2427400</v>
      </c>
      <c r="Z273" s="200" t="s">
        <v>339</v>
      </c>
    </row>
    <row r="274" spans="1:26" s="7" customFormat="1" ht="12.75" customHeight="1" x14ac:dyDescent="0.2">
      <c r="A274" s="184" t="s">
        <v>97</v>
      </c>
      <c r="B274" s="185">
        <v>9</v>
      </c>
      <c r="C274" s="186" t="s">
        <v>342</v>
      </c>
      <c r="D274" s="186" t="s">
        <v>98</v>
      </c>
      <c r="E274" s="187"/>
      <c r="F274" s="187">
        <v>39981077</v>
      </c>
      <c r="G274" s="187"/>
      <c r="H274" s="188" t="s">
        <v>101</v>
      </c>
      <c r="I274" s="189" t="s">
        <v>551</v>
      </c>
      <c r="J274" s="190">
        <v>2</v>
      </c>
      <c r="K274" s="191">
        <v>3</v>
      </c>
      <c r="L274" s="192">
        <v>10</v>
      </c>
      <c r="M274" s="185">
        <f t="shared" si="84"/>
        <v>1</v>
      </c>
      <c r="N274" s="193" t="s">
        <v>36</v>
      </c>
      <c r="O274" s="194" t="s">
        <v>256</v>
      </c>
      <c r="P274" s="195">
        <v>1</v>
      </c>
      <c r="Q274" s="196">
        <f t="shared" si="85"/>
        <v>39981077</v>
      </c>
      <c r="R274" s="196">
        <f t="shared" si="86"/>
        <v>39981077</v>
      </c>
      <c r="S274" s="197" t="s">
        <v>217</v>
      </c>
      <c r="T274" s="193">
        <v>0</v>
      </c>
      <c r="U274" s="198" t="str">
        <f t="shared" si="87"/>
        <v>SUBDIRECCION DE GESTION CONTRACTUAL</v>
      </c>
      <c r="V274" s="185" t="str">
        <f t="shared" si="88"/>
        <v>CO-DC</v>
      </c>
      <c r="W274" s="198" t="str">
        <f t="shared" si="89"/>
        <v>Distrito Capital de Bogotá</v>
      </c>
      <c r="X274" s="199" t="s">
        <v>103</v>
      </c>
      <c r="Y274" s="202">
        <v>2427400</v>
      </c>
      <c r="Z274" s="200" t="s">
        <v>339</v>
      </c>
    </row>
    <row r="275" spans="1:26" s="7" customFormat="1" ht="12.75" customHeight="1" x14ac:dyDescent="0.2">
      <c r="A275" s="184" t="s">
        <v>97</v>
      </c>
      <c r="B275" s="185">
        <v>10</v>
      </c>
      <c r="C275" s="186" t="s">
        <v>342</v>
      </c>
      <c r="D275" s="186" t="s">
        <v>98</v>
      </c>
      <c r="E275" s="187"/>
      <c r="F275" s="187">
        <v>625000000</v>
      </c>
      <c r="G275" s="187"/>
      <c r="H275" s="188">
        <v>80101604</v>
      </c>
      <c r="I275" s="189" t="s">
        <v>886</v>
      </c>
      <c r="J275" s="206">
        <v>5</v>
      </c>
      <c r="K275" s="206">
        <v>5</v>
      </c>
      <c r="L275" s="206">
        <v>7</v>
      </c>
      <c r="M275" s="185">
        <f t="shared" si="84"/>
        <v>1</v>
      </c>
      <c r="N275" s="193" t="s">
        <v>36</v>
      </c>
      <c r="O275" s="194" t="s">
        <v>256</v>
      </c>
      <c r="P275" s="195">
        <v>1</v>
      </c>
      <c r="Q275" s="196">
        <f t="shared" si="85"/>
        <v>625000000</v>
      </c>
      <c r="R275" s="196">
        <f t="shared" si="86"/>
        <v>625000000</v>
      </c>
      <c r="S275" s="197" t="s">
        <v>217</v>
      </c>
      <c r="T275" s="193">
        <v>0</v>
      </c>
      <c r="U275" s="198" t="str">
        <f t="shared" si="87"/>
        <v>SUBDIRECCION DE GESTION CONTRACTUAL</v>
      </c>
      <c r="V275" s="185" t="str">
        <f t="shared" si="88"/>
        <v>CO-DC</v>
      </c>
      <c r="W275" s="198" t="str">
        <f t="shared" si="89"/>
        <v>Distrito Capital de Bogotá</v>
      </c>
      <c r="X275" s="199" t="s">
        <v>103</v>
      </c>
      <c r="Y275" s="202">
        <v>2427400</v>
      </c>
      <c r="Z275" s="200" t="s">
        <v>339</v>
      </c>
    </row>
    <row r="276" spans="1:26" s="7" customFormat="1" ht="12.75" customHeight="1" x14ac:dyDescent="0.2">
      <c r="A276" s="184" t="s">
        <v>97</v>
      </c>
      <c r="B276" s="185">
        <v>11</v>
      </c>
      <c r="C276" s="186" t="s">
        <v>345</v>
      </c>
      <c r="D276" s="186" t="s">
        <v>98</v>
      </c>
      <c r="E276" s="187"/>
      <c r="F276" s="187">
        <v>214500000</v>
      </c>
      <c r="G276" s="187"/>
      <c r="H276" s="188">
        <v>80111600</v>
      </c>
      <c r="I276" s="189" t="s">
        <v>338</v>
      </c>
      <c r="J276" s="206">
        <v>1</v>
      </c>
      <c r="K276" s="206">
        <v>1</v>
      </c>
      <c r="L276" s="206">
        <v>12</v>
      </c>
      <c r="M276" s="185">
        <f t="shared" si="84"/>
        <v>1</v>
      </c>
      <c r="N276" s="193" t="s">
        <v>210</v>
      </c>
      <c r="O276" s="194" t="s">
        <v>264</v>
      </c>
      <c r="P276" s="195">
        <f>IF(ISBLANK(N276),"",1)</f>
        <v>1</v>
      </c>
      <c r="Q276" s="196">
        <f t="shared" si="85"/>
        <v>214500000</v>
      </c>
      <c r="R276" s="196">
        <f t="shared" si="86"/>
        <v>214500000</v>
      </c>
      <c r="S276" s="197" t="s">
        <v>217</v>
      </c>
      <c r="T276" s="193">
        <f>IF(ISBLANK(S276),"",IF(VALUE(S276)=0,0,IF(VALUE(S276)=1,3,"")))</f>
        <v>0</v>
      </c>
      <c r="U276" s="198" t="str">
        <f t="shared" si="87"/>
        <v>SUBDIRECCION DE GESTION CONTRACTUAL</v>
      </c>
      <c r="V276" s="185" t="str">
        <f t="shared" si="88"/>
        <v>CO-DC</v>
      </c>
      <c r="W276" s="198" t="str">
        <f t="shared" si="89"/>
        <v>Distrito Capital de Bogotá</v>
      </c>
      <c r="X276" s="199" t="s">
        <v>103</v>
      </c>
      <c r="Y276" s="202">
        <v>2427400</v>
      </c>
      <c r="Z276" s="200" t="s">
        <v>339</v>
      </c>
    </row>
    <row r="277" spans="1:26" s="7" customFormat="1" ht="12.75" customHeight="1" x14ac:dyDescent="0.2">
      <c r="A277" s="184" t="s">
        <v>97</v>
      </c>
      <c r="B277" s="185">
        <v>12</v>
      </c>
      <c r="C277" s="186" t="s">
        <v>346</v>
      </c>
      <c r="D277" s="186" t="s">
        <v>98</v>
      </c>
      <c r="E277" s="187"/>
      <c r="F277" s="187">
        <f>214500000+68500000</f>
        <v>283000000</v>
      </c>
      <c r="G277" s="187"/>
      <c r="H277" s="188">
        <v>80111600</v>
      </c>
      <c r="I277" s="189" t="s">
        <v>338</v>
      </c>
      <c r="J277" s="206">
        <v>1</v>
      </c>
      <c r="K277" s="206">
        <v>1</v>
      </c>
      <c r="L277" s="206">
        <v>12</v>
      </c>
      <c r="M277" s="185">
        <f t="shared" si="84"/>
        <v>1</v>
      </c>
      <c r="N277" s="193" t="s">
        <v>210</v>
      </c>
      <c r="O277" s="194" t="s">
        <v>264</v>
      </c>
      <c r="P277" s="195">
        <f>IF(ISBLANK(N277),"",1)</f>
        <v>1</v>
      </c>
      <c r="Q277" s="196">
        <f t="shared" si="85"/>
        <v>283000000</v>
      </c>
      <c r="R277" s="196">
        <f t="shared" si="86"/>
        <v>283000000</v>
      </c>
      <c r="S277" s="197" t="s">
        <v>217</v>
      </c>
      <c r="T277" s="193">
        <f>IF(ISBLANK(S277),"",IF(VALUE(S277)=0,0,IF(VALUE(S277)=1,3,"")))</f>
        <v>0</v>
      </c>
      <c r="U277" s="198" t="str">
        <f t="shared" si="87"/>
        <v>SUBDIRECCION DE GESTION CONTRACTUAL</v>
      </c>
      <c r="V277" s="185" t="str">
        <f t="shared" si="88"/>
        <v>CO-DC</v>
      </c>
      <c r="W277" s="198" t="str">
        <f t="shared" si="89"/>
        <v>Distrito Capital de Bogotá</v>
      </c>
      <c r="X277" s="199" t="s">
        <v>103</v>
      </c>
      <c r="Y277" s="202">
        <v>2427400</v>
      </c>
      <c r="Z277" s="200" t="s">
        <v>339</v>
      </c>
    </row>
    <row r="278" spans="1:26" s="7" customFormat="1" ht="12.75" customHeight="1" x14ac:dyDescent="0.2">
      <c r="A278" s="184" t="s">
        <v>97</v>
      </c>
      <c r="B278" s="185">
        <v>13</v>
      </c>
      <c r="C278" s="186" t="s">
        <v>346</v>
      </c>
      <c r="D278" s="186" t="s">
        <v>98</v>
      </c>
      <c r="E278" s="187"/>
      <c r="F278" s="187">
        <v>15000000</v>
      </c>
      <c r="G278" s="187"/>
      <c r="H278" s="188" t="s">
        <v>42</v>
      </c>
      <c r="I278" s="189" t="s">
        <v>343</v>
      </c>
      <c r="J278" s="190">
        <v>3</v>
      </c>
      <c r="K278" s="191">
        <v>4</v>
      </c>
      <c r="L278" s="192">
        <v>9</v>
      </c>
      <c r="M278" s="185">
        <f t="shared" si="84"/>
        <v>1</v>
      </c>
      <c r="N278" s="193" t="s">
        <v>61</v>
      </c>
      <c r="O278" s="194" t="s">
        <v>902</v>
      </c>
      <c r="P278" s="195">
        <v>1</v>
      </c>
      <c r="Q278" s="196">
        <f t="shared" si="85"/>
        <v>15000000</v>
      </c>
      <c r="R278" s="196">
        <f t="shared" si="86"/>
        <v>15000000</v>
      </c>
      <c r="S278" s="197" t="s">
        <v>217</v>
      </c>
      <c r="T278" s="193">
        <v>0</v>
      </c>
      <c r="U278" s="198" t="str">
        <f t="shared" si="87"/>
        <v>SUBDIRECCION DE GESTION CONTRACTUAL</v>
      </c>
      <c r="V278" s="185" t="str">
        <f t="shared" si="88"/>
        <v>CO-DC</v>
      </c>
      <c r="W278" s="198" t="str">
        <f t="shared" si="89"/>
        <v>Distrito Capital de Bogotá</v>
      </c>
      <c r="X278" s="199" t="s">
        <v>103</v>
      </c>
      <c r="Y278" s="202">
        <v>2427400</v>
      </c>
      <c r="Z278" s="200" t="s">
        <v>339</v>
      </c>
    </row>
    <row r="279" spans="1:26" s="7" customFormat="1" ht="12.75" customHeight="1" x14ac:dyDescent="0.2">
      <c r="A279" s="184" t="s">
        <v>97</v>
      </c>
      <c r="B279" s="185">
        <v>14</v>
      </c>
      <c r="C279" s="186" t="s">
        <v>346</v>
      </c>
      <c r="D279" s="186" t="s">
        <v>98</v>
      </c>
      <c r="E279" s="187"/>
      <c r="F279" s="187">
        <f>97500000-36000000</f>
        <v>61500000</v>
      </c>
      <c r="G279" s="187"/>
      <c r="H279" s="188" t="s">
        <v>710</v>
      </c>
      <c r="I279" s="189" t="s">
        <v>340</v>
      </c>
      <c r="J279" s="190">
        <v>2</v>
      </c>
      <c r="K279" s="191">
        <v>3</v>
      </c>
      <c r="L279" s="192">
        <v>9</v>
      </c>
      <c r="M279" s="185">
        <f t="shared" si="84"/>
        <v>1</v>
      </c>
      <c r="N279" s="193" t="s">
        <v>221</v>
      </c>
      <c r="O279" s="194" t="s">
        <v>903</v>
      </c>
      <c r="P279" s="195">
        <v>1</v>
      </c>
      <c r="Q279" s="196">
        <f t="shared" si="85"/>
        <v>61500000</v>
      </c>
      <c r="R279" s="196">
        <f t="shared" si="86"/>
        <v>61500000</v>
      </c>
      <c r="S279" s="197" t="s">
        <v>217</v>
      </c>
      <c r="T279" s="193">
        <v>0</v>
      </c>
      <c r="U279" s="198" t="str">
        <f t="shared" si="87"/>
        <v>SUBDIRECCION DE GESTION CONTRACTUAL</v>
      </c>
      <c r="V279" s="185" t="str">
        <f t="shared" si="88"/>
        <v>CO-DC</v>
      </c>
      <c r="W279" s="198" t="str">
        <f t="shared" si="89"/>
        <v>Distrito Capital de Bogotá</v>
      </c>
      <c r="X279" s="199" t="s">
        <v>103</v>
      </c>
      <c r="Y279" s="202">
        <v>2427400</v>
      </c>
      <c r="Z279" s="200" t="s">
        <v>339</v>
      </c>
    </row>
    <row r="280" spans="1:26" s="7" customFormat="1" ht="12.75" customHeight="1" x14ac:dyDescent="0.2">
      <c r="A280" s="184" t="s">
        <v>97</v>
      </c>
      <c r="B280" s="185">
        <v>15</v>
      </c>
      <c r="C280" s="186" t="s">
        <v>346</v>
      </c>
      <c r="D280" s="186" t="s">
        <v>98</v>
      </c>
      <c r="E280" s="187"/>
      <c r="F280" s="187">
        <f>32500000-32500000</f>
        <v>0</v>
      </c>
      <c r="G280" s="187"/>
      <c r="H280" s="188" t="s">
        <v>710</v>
      </c>
      <c r="I280" s="189" t="s">
        <v>340</v>
      </c>
      <c r="J280" s="206">
        <v>2</v>
      </c>
      <c r="K280" s="206">
        <v>3</v>
      </c>
      <c r="L280" s="206">
        <v>9</v>
      </c>
      <c r="M280" s="185">
        <f t="shared" si="84"/>
        <v>1</v>
      </c>
      <c r="N280" s="193" t="s">
        <v>221</v>
      </c>
      <c r="O280" s="194" t="s">
        <v>903</v>
      </c>
      <c r="P280" s="195">
        <v>1</v>
      </c>
      <c r="Q280" s="196">
        <f t="shared" si="85"/>
        <v>0</v>
      </c>
      <c r="R280" s="196">
        <f t="shared" si="86"/>
        <v>0</v>
      </c>
      <c r="S280" s="197" t="s">
        <v>217</v>
      </c>
      <c r="T280" s="193">
        <v>0</v>
      </c>
      <c r="U280" s="198" t="str">
        <f t="shared" si="87"/>
        <v>SUBDIRECCION DE GESTION CONTRACTUAL</v>
      </c>
      <c r="V280" s="185" t="str">
        <f t="shared" si="88"/>
        <v>CO-DC</v>
      </c>
      <c r="W280" s="198" t="str">
        <f t="shared" si="89"/>
        <v>Distrito Capital de Bogotá</v>
      </c>
      <c r="X280" s="199" t="s">
        <v>103</v>
      </c>
      <c r="Y280" s="202">
        <v>2427400</v>
      </c>
      <c r="Z280" s="200" t="s">
        <v>339</v>
      </c>
    </row>
    <row r="281" spans="1:26" s="7" customFormat="1" ht="12.75" customHeight="1" x14ac:dyDescent="0.2">
      <c r="A281" s="184" t="s">
        <v>97</v>
      </c>
      <c r="B281" s="185">
        <v>16</v>
      </c>
      <c r="C281" s="186" t="s">
        <v>347</v>
      </c>
      <c r="D281" s="186" t="s">
        <v>100</v>
      </c>
      <c r="E281" s="187"/>
      <c r="F281" s="187">
        <v>372760055</v>
      </c>
      <c r="G281" s="187"/>
      <c r="H281" s="188">
        <v>80111600</v>
      </c>
      <c r="I281" s="189" t="s">
        <v>338</v>
      </c>
      <c r="J281" s="206">
        <v>1</v>
      </c>
      <c r="K281" s="206">
        <v>1</v>
      </c>
      <c r="L281" s="206">
        <v>12</v>
      </c>
      <c r="M281" s="185">
        <f t="shared" si="84"/>
        <v>1</v>
      </c>
      <c r="N281" s="193" t="s">
        <v>210</v>
      </c>
      <c r="O281" s="194" t="s">
        <v>264</v>
      </c>
      <c r="P281" s="195">
        <f>IF(ISBLANK(N281),"",1)</f>
        <v>1</v>
      </c>
      <c r="Q281" s="196">
        <f t="shared" si="85"/>
        <v>372760055</v>
      </c>
      <c r="R281" s="196">
        <f t="shared" si="86"/>
        <v>372760055</v>
      </c>
      <c r="S281" s="197" t="s">
        <v>217</v>
      </c>
      <c r="T281" s="193">
        <f>IF(ISBLANK(S281),"",IF(VALUE(S281)=0,0,IF(VALUE(S281)=1,3,"")))</f>
        <v>0</v>
      </c>
      <c r="U281" s="198" t="str">
        <f t="shared" si="87"/>
        <v>SUBDIRECCION DE GESTION CONTRACTUAL</v>
      </c>
      <c r="V281" s="185" t="str">
        <f t="shared" si="88"/>
        <v>CO-DC</v>
      </c>
      <c r="W281" s="198" t="str">
        <f t="shared" si="89"/>
        <v>Distrito Capital de Bogotá</v>
      </c>
      <c r="X281" s="199" t="s">
        <v>103</v>
      </c>
      <c r="Y281" s="202">
        <v>2427400</v>
      </c>
      <c r="Z281" s="200" t="s">
        <v>339</v>
      </c>
    </row>
    <row r="282" spans="1:26" s="7" customFormat="1" ht="12.75" customHeight="1" x14ac:dyDescent="0.2">
      <c r="A282" s="184" t="s">
        <v>97</v>
      </c>
      <c r="B282" s="185">
        <v>17</v>
      </c>
      <c r="C282" s="186" t="s">
        <v>347</v>
      </c>
      <c r="D282" s="186" t="s">
        <v>100</v>
      </c>
      <c r="E282" s="187"/>
      <c r="F282" s="187">
        <f>50373850+22674900</f>
        <v>73048750</v>
      </c>
      <c r="G282" s="187"/>
      <c r="H282" s="188" t="s">
        <v>42</v>
      </c>
      <c r="I282" s="189" t="s">
        <v>343</v>
      </c>
      <c r="J282" s="190">
        <v>3</v>
      </c>
      <c r="K282" s="191">
        <v>4</v>
      </c>
      <c r="L282" s="192">
        <v>9</v>
      </c>
      <c r="M282" s="185">
        <f t="shared" si="84"/>
        <v>1</v>
      </c>
      <c r="N282" s="193" t="s">
        <v>61</v>
      </c>
      <c r="O282" s="194" t="s">
        <v>902</v>
      </c>
      <c r="P282" s="195">
        <v>1</v>
      </c>
      <c r="Q282" s="196">
        <f t="shared" si="85"/>
        <v>73048750</v>
      </c>
      <c r="R282" s="196">
        <f t="shared" si="86"/>
        <v>73048750</v>
      </c>
      <c r="S282" s="197" t="s">
        <v>217</v>
      </c>
      <c r="T282" s="193">
        <v>0</v>
      </c>
      <c r="U282" s="198" t="str">
        <f t="shared" si="87"/>
        <v>SUBDIRECCION DE GESTION CONTRACTUAL</v>
      </c>
      <c r="V282" s="185" t="str">
        <f t="shared" si="88"/>
        <v>CO-DC</v>
      </c>
      <c r="W282" s="198" t="str">
        <f t="shared" si="89"/>
        <v>Distrito Capital de Bogotá</v>
      </c>
      <c r="X282" s="199" t="s">
        <v>103</v>
      </c>
      <c r="Y282" s="202">
        <v>2427400</v>
      </c>
      <c r="Z282" s="200" t="s">
        <v>339</v>
      </c>
    </row>
    <row r="283" spans="1:26" s="7" customFormat="1" ht="12.75" customHeight="1" x14ac:dyDescent="0.2">
      <c r="A283" s="184" t="s">
        <v>97</v>
      </c>
      <c r="B283" s="185">
        <v>18</v>
      </c>
      <c r="C283" s="186" t="s">
        <v>347</v>
      </c>
      <c r="D283" s="186" t="s">
        <v>100</v>
      </c>
      <c r="E283" s="187"/>
      <c r="F283" s="187">
        <v>644981800</v>
      </c>
      <c r="G283" s="187"/>
      <c r="H283" s="188" t="s">
        <v>710</v>
      </c>
      <c r="I283" s="189" t="s">
        <v>340</v>
      </c>
      <c r="J283" s="190">
        <v>2</v>
      </c>
      <c r="K283" s="191">
        <v>3</v>
      </c>
      <c r="L283" s="192">
        <v>9</v>
      </c>
      <c r="M283" s="185">
        <f t="shared" si="84"/>
        <v>1</v>
      </c>
      <c r="N283" s="193" t="s">
        <v>221</v>
      </c>
      <c r="O283" s="194" t="s">
        <v>903</v>
      </c>
      <c r="P283" s="195">
        <v>1</v>
      </c>
      <c r="Q283" s="196">
        <f t="shared" si="85"/>
        <v>644981800</v>
      </c>
      <c r="R283" s="196">
        <f t="shared" si="86"/>
        <v>644981800</v>
      </c>
      <c r="S283" s="197" t="s">
        <v>217</v>
      </c>
      <c r="T283" s="193">
        <v>0</v>
      </c>
      <c r="U283" s="198" t="str">
        <f t="shared" si="87"/>
        <v>SUBDIRECCION DE GESTION CONTRACTUAL</v>
      </c>
      <c r="V283" s="185" t="str">
        <f t="shared" si="88"/>
        <v>CO-DC</v>
      </c>
      <c r="W283" s="198" t="str">
        <f t="shared" si="89"/>
        <v>Distrito Capital de Bogotá</v>
      </c>
      <c r="X283" s="199" t="s">
        <v>103</v>
      </c>
      <c r="Y283" s="202">
        <v>2427400</v>
      </c>
      <c r="Z283" s="200" t="s">
        <v>339</v>
      </c>
    </row>
    <row r="284" spans="1:26" s="7" customFormat="1" ht="12.75" customHeight="1" x14ac:dyDescent="0.2">
      <c r="A284" s="184" t="s">
        <v>97</v>
      </c>
      <c r="B284" s="185">
        <v>19</v>
      </c>
      <c r="C284" s="186" t="s">
        <v>347</v>
      </c>
      <c r="D284" s="186" t="s">
        <v>100</v>
      </c>
      <c r="E284" s="187"/>
      <c r="F284" s="187">
        <v>30000000</v>
      </c>
      <c r="G284" s="187"/>
      <c r="H284" s="188" t="s">
        <v>710</v>
      </c>
      <c r="I284" s="189" t="s">
        <v>340</v>
      </c>
      <c r="J284" s="206">
        <v>2</v>
      </c>
      <c r="K284" s="206">
        <v>3</v>
      </c>
      <c r="L284" s="206">
        <v>9</v>
      </c>
      <c r="M284" s="185">
        <f t="shared" si="84"/>
        <v>1</v>
      </c>
      <c r="N284" s="193" t="s">
        <v>221</v>
      </c>
      <c r="O284" s="194" t="s">
        <v>903</v>
      </c>
      <c r="P284" s="195">
        <v>1</v>
      </c>
      <c r="Q284" s="196">
        <f t="shared" si="85"/>
        <v>30000000</v>
      </c>
      <c r="R284" s="196">
        <f t="shared" si="86"/>
        <v>30000000</v>
      </c>
      <c r="S284" s="197" t="s">
        <v>217</v>
      </c>
      <c r="T284" s="193">
        <v>0</v>
      </c>
      <c r="U284" s="198" t="str">
        <f t="shared" si="87"/>
        <v>SUBDIRECCION DE GESTION CONTRACTUAL</v>
      </c>
      <c r="V284" s="185" t="str">
        <f t="shared" si="88"/>
        <v>CO-DC</v>
      </c>
      <c r="W284" s="198" t="str">
        <f t="shared" si="89"/>
        <v>Distrito Capital de Bogotá</v>
      </c>
      <c r="X284" s="199" t="s">
        <v>103</v>
      </c>
      <c r="Y284" s="202">
        <v>2427400</v>
      </c>
      <c r="Z284" s="200" t="s">
        <v>339</v>
      </c>
    </row>
    <row r="285" spans="1:26" s="7" customFormat="1" ht="12.75" customHeight="1" x14ac:dyDescent="0.2">
      <c r="A285" s="184" t="s">
        <v>97</v>
      </c>
      <c r="B285" s="185">
        <v>20</v>
      </c>
      <c r="C285" s="186" t="s">
        <v>347</v>
      </c>
      <c r="D285" s="186" t="s">
        <v>100</v>
      </c>
      <c r="E285" s="187"/>
      <c r="F285" s="187">
        <v>25000000</v>
      </c>
      <c r="G285" s="187"/>
      <c r="H285" s="188" t="s">
        <v>565</v>
      </c>
      <c r="I285" s="189" t="s">
        <v>344</v>
      </c>
      <c r="J285" s="190">
        <v>8</v>
      </c>
      <c r="K285" s="191">
        <v>8</v>
      </c>
      <c r="L285" s="192">
        <v>4</v>
      </c>
      <c r="M285" s="185">
        <v>1</v>
      </c>
      <c r="N285" s="193" t="s">
        <v>210</v>
      </c>
      <c r="O285" s="194" t="s">
        <v>264</v>
      </c>
      <c r="P285" s="195">
        <v>1</v>
      </c>
      <c r="Q285" s="196">
        <f t="shared" si="85"/>
        <v>25000000</v>
      </c>
      <c r="R285" s="196">
        <f t="shared" si="86"/>
        <v>25000000</v>
      </c>
      <c r="S285" s="197" t="s">
        <v>217</v>
      </c>
      <c r="T285" s="193">
        <v>0</v>
      </c>
      <c r="U285" s="198" t="str">
        <f t="shared" si="87"/>
        <v>SUBDIRECCION DE GESTION CONTRACTUAL</v>
      </c>
      <c r="V285" s="185" t="str">
        <f t="shared" si="88"/>
        <v>CO-DC</v>
      </c>
      <c r="W285" s="198" t="str">
        <f t="shared" si="89"/>
        <v>Distrito Capital de Bogotá</v>
      </c>
      <c r="X285" s="199" t="s">
        <v>299</v>
      </c>
      <c r="Y285" s="185">
        <v>2427400</v>
      </c>
      <c r="Z285" s="200" t="s">
        <v>92</v>
      </c>
    </row>
    <row r="286" spans="1:26" s="7" customFormat="1" ht="12.75" customHeight="1" x14ac:dyDescent="0.2">
      <c r="A286" s="184" t="s">
        <v>97</v>
      </c>
      <c r="B286" s="185">
        <v>21</v>
      </c>
      <c r="C286" s="186" t="s">
        <v>347</v>
      </c>
      <c r="D286" s="186" t="s">
        <v>100</v>
      </c>
      <c r="E286" s="187"/>
      <c r="F286" s="187">
        <v>490217170</v>
      </c>
      <c r="G286" s="187"/>
      <c r="H286" s="188" t="s">
        <v>99</v>
      </c>
      <c r="I286" s="189" t="s">
        <v>348</v>
      </c>
      <c r="J286" s="206">
        <v>6</v>
      </c>
      <c r="K286" s="206">
        <v>6</v>
      </c>
      <c r="L286" s="206">
        <v>6</v>
      </c>
      <c r="M286" s="185">
        <f t="shared" ref="M286:M294" si="90">IF(ISBLANK(J286),"",1)</f>
        <v>1</v>
      </c>
      <c r="N286" s="193" t="s">
        <v>36</v>
      </c>
      <c r="O286" s="194" t="s">
        <v>256</v>
      </c>
      <c r="P286" s="195">
        <v>1</v>
      </c>
      <c r="Q286" s="196">
        <f t="shared" si="85"/>
        <v>490217170</v>
      </c>
      <c r="R286" s="196">
        <f t="shared" si="86"/>
        <v>490217170</v>
      </c>
      <c r="S286" s="197" t="s">
        <v>217</v>
      </c>
      <c r="T286" s="193">
        <v>0</v>
      </c>
      <c r="U286" s="198" t="str">
        <f t="shared" si="87"/>
        <v>SUBDIRECCION DE GESTION CONTRACTUAL</v>
      </c>
      <c r="V286" s="185" t="str">
        <f t="shared" si="88"/>
        <v>CO-DC</v>
      </c>
      <c r="W286" s="198" t="str">
        <f t="shared" si="89"/>
        <v>Distrito Capital de Bogotá</v>
      </c>
      <c r="X286" s="199" t="s">
        <v>103</v>
      </c>
      <c r="Y286" s="202">
        <v>2427400</v>
      </c>
      <c r="Z286" s="200" t="s">
        <v>339</v>
      </c>
    </row>
    <row r="287" spans="1:26" s="7" customFormat="1" ht="12.75" customHeight="1" x14ac:dyDescent="0.2">
      <c r="A287" s="184" t="s">
        <v>97</v>
      </c>
      <c r="B287" s="185">
        <v>22</v>
      </c>
      <c r="C287" s="186" t="s">
        <v>347</v>
      </c>
      <c r="D287" s="186" t="s">
        <v>100</v>
      </c>
      <c r="E287" s="187"/>
      <c r="F287" s="187">
        <v>93675000</v>
      </c>
      <c r="G287" s="187"/>
      <c r="H287" s="188" t="s">
        <v>349</v>
      </c>
      <c r="I287" s="189" t="s">
        <v>350</v>
      </c>
      <c r="J287" s="206">
        <v>1</v>
      </c>
      <c r="K287" s="206">
        <v>3</v>
      </c>
      <c r="L287" s="206">
        <v>9</v>
      </c>
      <c r="M287" s="185">
        <f t="shared" si="90"/>
        <v>1</v>
      </c>
      <c r="N287" s="193" t="s">
        <v>36</v>
      </c>
      <c r="O287" s="194" t="s">
        <v>256</v>
      </c>
      <c r="P287" s="195">
        <v>1</v>
      </c>
      <c r="Q287" s="196">
        <f t="shared" si="85"/>
        <v>93675000</v>
      </c>
      <c r="R287" s="196">
        <f t="shared" si="86"/>
        <v>93675000</v>
      </c>
      <c r="S287" s="197" t="s">
        <v>217</v>
      </c>
      <c r="T287" s="193">
        <v>0</v>
      </c>
      <c r="U287" s="198" t="str">
        <f t="shared" si="87"/>
        <v>SUBDIRECCION DE GESTION CONTRACTUAL</v>
      </c>
      <c r="V287" s="185" t="str">
        <f t="shared" si="88"/>
        <v>CO-DC</v>
      </c>
      <c r="W287" s="198" t="str">
        <f t="shared" si="89"/>
        <v>Distrito Capital de Bogotá</v>
      </c>
      <c r="X287" s="199" t="s">
        <v>103</v>
      </c>
      <c r="Y287" s="202">
        <v>2427400</v>
      </c>
      <c r="Z287" s="200" t="s">
        <v>339</v>
      </c>
    </row>
    <row r="288" spans="1:26" s="7" customFormat="1" ht="12.75" customHeight="1" x14ac:dyDescent="0.2">
      <c r="A288" s="184" t="s">
        <v>97</v>
      </c>
      <c r="B288" s="185">
        <v>23</v>
      </c>
      <c r="C288" s="186" t="s">
        <v>351</v>
      </c>
      <c r="D288" s="186" t="s">
        <v>100</v>
      </c>
      <c r="E288" s="187"/>
      <c r="F288" s="187">
        <v>54000000</v>
      </c>
      <c r="G288" s="187"/>
      <c r="H288" s="188">
        <v>80111600</v>
      </c>
      <c r="I288" s="189" t="s">
        <v>338</v>
      </c>
      <c r="J288" s="206">
        <v>1</v>
      </c>
      <c r="K288" s="206">
        <v>1</v>
      </c>
      <c r="L288" s="206">
        <v>12</v>
      </c>
      <c r="M288" s="185">
        <f t="shared" si="90"/>
        <v>1</v>
      </c>
      <c r="N288" s="193" t="s">
        <v>210</v>
      </c>
      <c r="O288" s="194" t="s">
        <v>264</v>
      </c>
      <c r="P288" s="195">
        <f>IF(ISBLANK(N288),"",1)</f>
        <v>1</v>
      </c>
      <c r="Q288" s="196">
        <f t="shared" si="85"/>
        <v>54000000</v>
      </c>
      <c r="R288" s="196">
        <f t="shared" si="86"/>
        <v>54000000</v>
      </c>
      <c r="S288" s="197" t="s">
        <v>217</v>
      </c>
      <c r="T288" s="193">
        <f>IF(ISBLANK(S288),"",IF(VALUE(S288)=0,0,IF(VALUE(S288)=1,3,"")))</f>
        <v>0</v>
      </c>
      <c r="U288" s="198" t="str">
        <f t="shared" si="87"/>
        <v>SUBDIRECCION DE GESTION CONTRACTUAL</v>
      </c>
      <c r="V288" s="185" t="str">
        <f t="shared" si="88"/>
        <v>CO-DC</v>
      </c>
      <c r="W288" s="198" t="str">
        <f t="shared" si="89"/>
        <v>Distrito Capital de Bogotá</v>
      </c>
      <c r="X288" s="199" t="s">
        <v>103</v>
      </c>
      <c r="Y288" s="202">
        <v>2427400</v>
      </c>
      <c r="Z288" s="200" t="s">
        <v>339</v>
      </c>
    </row>
    <row r="289" spans="1:26" s="7" customFormat="1" ht="12.75" customHeight="1" x14ac:dyDescent="0.2">
      <c r="A289" s="184" t="s">
        <v>97</v>
      </c>
      <c r="B289" s="185">
        <v>24</v>
      </c>
      <c r="C289" s="186" t="s">
        <v>351</v>
      </c>
      <c r="D289" s="186" t="s">
        <v>100</v>
      </c>
      <c r="E289" s="187"/>
      <c r="F289" s="187">
        <v>9415000</v>
      </c>
      <c r="G289" s="187"/>
      <c r="H289" s="188" t="s">
        <v>42</v>
      </c>
      <c r="I289" s="189" t="s">
        <v>343</v>
      </c>
      <c r="J289" s="190">
        <v>3</v>
      </c>
      <c r="K289" s="191">
        <v>4</v>
      </c>
      <c r="L289" s="192">
        <v>9</v>
      </c>
      <c r="M289" s="185">
        <f t="shared" si="90"/>
        <v>1</v>
      </c>
      <c r="N289" s="193" t="s">
        <v>61</v>
      </c>
      <c r="O289" s="194" t="s">
        <v>902</v>
      </c>
      <c r="P289" s="195">
        <v>1</v>
      </c>
      <c r="Q289" s="196">
        <f t="shared" si="85"/>
        <v>9415000</v>
      </c>
      <c r="R289" s="196">
        <f t="shared" si="86"/>
        <v>9415000</v>
      </c>
      <c r="S289" s="197" t="s">
        <v>217</v>
      </c>
      <c r="T289" s="193">
        <v>0</v>
      </c>
      <c r="U289" s="198" t="str">
        <f t="shared" si="87"/>
        <v>SUBDIRECCION DE GESTION CONTRACTUAL</v>
      </c>
      <c r="V289" s="185" t="str">
        <f t="shared" si="88"/>
        <v>CO-DC</v>
      </c>
      <c r="W289" s="198" t="str">
        <f t="shared" si="89"/>
        <v>Distrito Capital de Bogotá</v>
      </c>
      <c r="X289" s="199" t="s">
        <v>103</v>
      </c>
      <c r="Y289" s="202">
        <v>2427400</v>
      </c>
      <c r="Z289" s="200" t="s">
        <v>339</v>
      </c>
    </row>
    <row r="290" spans="1:26" s="7" customFormat="1" ht="12.75" customHeight="1" x14ac:dyDescent="0.2">
      <c r="A290" s="184" t="s">
        <v>97</v>
      </c>
      <c r="B290" s="185">
        <v>25</v>
      </c>
      <c r="C290" s="186" t="s">
        <v>351</v>
      </c>
      <c r="D290" s="186" t="s">
        <v>100</v>
      </c>
      <c r="E290" s="187"/>
      <c r="F290" s="187">
        <v>264370750</v>
      </c>
      <c r="G290" s="187"/>
      <c r="H290" s="188" t="s">
        <v>710</v>
      </c>
      <c r="I290" s="189" t="s">
        <v>340</v>
      </c>
      <c r="J290" s="190">
        <v>2</v>
      </c>
      <c r="K290" s="191">
        <v>3</v>
      </c>
      <c r="L290" s="192">
        <v>9</v>
      </c>
      <c r="M290" s="185">
        <f t="shared" si="90"/>
        <v>1</v>
      </c>
      <c r="N290" s="193" t="s">
        <v>221</v>
      </c>
      <c r="O290" s="194" t="s">
        <v>903</v>
      </c>
      <c r="P290" s="195">
        <v>1</v>
      </c>
      <c r="Q290" s="196">
        <f t="shared" si="85"/>
        <v>264370750</v>
      </c>
      <c r="R290" s="196">
        <f t="shared" si="86"/>
        <v>264370750</v>
      </c>
      <c r="S290" s="197" t="s">
        <v>217</v>
      </c>
      <c r="T290" s="193">
        <v>0</v>
      </c>
      <c r="U290" s="198" t="str">
        <f t="shared" si="87"/>
        <v>SUBDIRECCION DE GESTION CONTRACTUAL</v>
      </c>
      <c r="V290" s="185" t="str">
        <f t="shared" si="88"/>
        <v>CO-DC</v>
      </c>
      <c r="W290" s="198" t="str">
        <f t="shared" si="89"/>
        <v>Distrito Capital de Bogotá</v>
      </c>
      <c r="X290" s="199" t="s">
        <v>103</v>
      </c>
      <c r="Y290" s="202">
        <v>2427400</v>
      </c>
      <c r="Z290" s="200" t="s">
        <v>339</v>
      </c>
    </row>
    <row r="291" spans="1:26" s="7" customFormat="1" ht="12.75" customHeight="1" thickBot="1" x14ac:dyDescent="0.25">
      <c r="A291" s="184" t="s">
        <v>97</v>
      </c>
      <c r="B291" s="185">
        <v>26</v>
      </c>
      <c r="C291" s="186" t="s">
        <v>352</v>
      </c>
      <c r="D291" s="186" t="s">
        <v>98</v>
      </c>
      <c r="E291" s="187"/>
      <c r="F291" s="187">
        <f>2413647155+83000000+120000000</f>
        <v>2616647155</v>
      </c>
      <c r="G291" s="187"/>
      <c r="H291" s="188">
        <v>80111600</v>
      </c>
      <c r="I291" s="189" t="s">
        <v>338</v>
      </c>
      <c r="J291" s="206">
        <v>1</v>
      </c>
      <c r="K291" s="206">
        <v>1</v>
      </c>
      <c r="L291" s="206">
        <v>12</v>
      </c>
      <c r="M291" s="185">
        <f t="shared" si="90"/>
        <v>1</v>
      </c>
      <c r="N291" s="193" t="s">
        <v>210</v>
      </c>
      <c r="O291" s="194" t="s">
        <v>264</v>
      </c>
      <c r="P291" s="195">
        <f>IF(ISBLANK(N291),"",1)</f>
        <v>1</v>
      </c>
      <c r="Q291" s="196">
        <f t="shared" si="85"/>
        <v>2616647155</v>
      </c>
      <c r="R291" s="196">
        <f t="shared" si="86"/>
        <v>2616647155</v>
      </c>
      <c r="S291" s="197" t="s">
        <v>217</v>
      </c>
      <c r="T291" s="193">
        <f>IF(ISBLANK(S291),"",IF(VALUE(S291)=0,0,IF(VALUE(S291)=1,3,"")))</f>
        <v>0</v>
      </c>
      <c r="U291" s="198" t="str">
        <f t="shared" si="87"/>
        <v>SUBDIRECCION DE GESTION CONTRACTUAL</v>
      </c>
      <c r="V291" s="185" t="str">
        <f t="shared" si="88"/>
        <v>CO-DC</v>
      </c>
      <c r="W291" s="198" t="str">
        <f t="shared" si="89"/>
        <v>Distrito Capital de Bogotá</v>
      </c>
      <c r="X291" s="199" t="s">
        <v>103</v>
      </c>
      <c r="Y291" s="202">
        <v>2427400</v>
      </c>
      <c r="Z291" s="200" t="s">
        <v>339</v>
      </c>
    </row>
    <row r="292" spans="1:26" s="7" customFormat="1" ht="12.75" customHeight="1" x14ac:dyDescent="0.2">
      <c r="A292" s="184" t="s">
        <v>97</v>
      </c>
      <c r="B292" s="185">
        <v>27</v>
      </c>
      <c r="C292" s="186" t="s">
        <v>352</v>
      </c>
      <c r="D292" s="186" t="s">
        <v>98</v>
      </c>
      <c r="E292" s="187"/>
      <c r="F292" s="187">
        <f>276460000+32500690</f>
        <v>308960690</v>
      </c>
      <c r="G292" s="187"/>
      <c r="H292" s="188" t="s">
        <v>42</v>
      </c>
      <c r="I292" s="189" t="s">
        <v>343</v>
      </c>
      <c r="J292" s="190">
        <v>3</v>
      </c>
      <c r="K292" s="191">
        <v>4</v>
      </c>
      <c r="L292" s="192">
        <v>9</v>
      </c>
      <c r="M292" s="185">
        <f t="shared" si="90"/>
        <v>1</v>
      </c>
      <c r="N292" s="228" t="s">
        <v>61</v>
      </c>
      <c r="O292" s="194" t="s">
        <v>902</v>
      </c>
      <c r="P292" s="195">
        <v>1</v>
      </c>
      <c r="Q292" s="196">
        <f t="shared" si="85"/>
        <v>308960690</v>
      </c>
      <c r="R292" s="196">
        <f t="shared" si="86"/>
        <v>308960690</v>
      </c>
      <c r="S292" s="197" t="s">
        <v>217</v>
      </c>
      <c r="T292" s="193">
        <v>0</v>
      </c>
      <c r="U292" s="198" t="str">
        <f t="shared" si="87"/>
        <v>SUBDIRECCION DE GESTION CONTRACTUAL</v>
      </c>
      <c r="V292" s="185" t="str">
        <f t="shared" si="88"/>
        <v>CO-DC</v>
      </c>
      <c r="W292" s="198" t="str">
        <f t="shared" si="89"/>
        <v>Distrito Capital de Bogotá</v>
      </c>
      <c r="X292" s="199" t="s">
        <v>103</v>
      </c>
      <c r="Y292" s="202">
        <v>2427400</v>
      </c>
      <c r="Z292" s="200" t="s">
        <v>339</v>
      </c>
    </row>
    <row r="293" spans="1:26" s="7" customFormat="1" ht="12.75" customHeight="1" x14ac:dyDescent="0.2">
      <c r="A293" s="184" t="s">
        <v>97</v>
      </c>
      <c r="B293" s="185">
        <v>28</v>
      </c>
      <c r="C293" s="186" t="s">
        <v>352</v>
      </c>
      <c r="D293" s="186" t="s">
        <v>98</v>
      </c>
      <c r="E293" s="187"/>
      <c r="F293" s="187">
        <v>1891393118</v>
      </c>
      <c r="G293" s="187"/>
      <c r="H293" s="188" t="s">
        <v>710</v>
      </c>
      <c r="I293" s="189" t="s">
        <v>340</v>
      </c>
      <c r="J293" s="190">
        <v>2</v>
      </c>
      <c r="K293" s="191">
        <v>3</v>
      </c>
      <c r="L293" s="192">
        <v>9</v>
      </c>
      <c r="M293" s="185">
        <f t="shared" si="90"/>
        <v>1</v>
      </c>
      <c r="N293" s="193" t="s">
        <v>221</v>
      </c>
      <c r="O293" s="194" t="s">
        <v>903</v>
      </c>
      <c r="P293" s="195">
        <v>1</v>
      </c>
      <c r="Q293" s="196">
        <f t="shared" si="85"/>
        <v>1891393118</v>
      </c>
      <c r="R293" s="196">
        <f t="shared" si="86"/>
        <v>1891393118</v>
      </c>
      <c r="S293" s="197" t="s">
        <v>217</v>
      </c>
      <c r="T293" s="193">
        <v>0</v>
      </c>
      <c r="U293" s="198" t="str">
        <f t="shared" si="87"/>
        <v>SUBDIRECCION DE GESTION CONTRACTUAL</v>
      </c>
      <c r="V293" s="185" t="str">
        <f t="shared" si="88"/>
        <v>CO-DC</v>
      </c>
      <c r="W293" s="198" t="str">
        <f t="shared" si="89"/>
        <v>Distrito Capital de Bogotá</v>
      </c>
      <c r="X293" s="199" t="s">
        <v>103</v>
      </c>
      <c r="Y293" s="202">
        <v>2427400</v>
      </c>
      <c r="Z293" s="200" t="s">
        <v>339</v>
      </c>
    </row>
    <row r="294" spans="1:26" s="7" customFormat="1" ht="12.75" customHeight="1" x14ac:dyDescent="0.2">
      <c r="A294" s="184" t="s">
        <v>97</v>
      </c>
      <c r="B294" s="185">
        <v>29</v>
      </c>
      <c r="C294" s="186" t="s">
        <v>352</v>
      </c>
      <c r="D294" s="186" t="s">
        <v>98</v>
      </c>
      <c r="E294" s="187"/>
      <c r="F294" s="187">
        <v>482500000</v>
      </c>
      <c r="G294" s="187"/>
      <c r="H294" s="188" t="s">
        <v>710</v>
      </c>
      <c r="I294" s="189" t="s">
        <v>340</v>
      </c>
      <c r="J294" s="206">
        <v>2</v>
      </c>
      <c r="K294" s="206">
        <v>3</v>
      </c>
      <c r="L294" s="206">
        <v>9</v>
      </c>
      <c r="M294" s="185">
        <f t="shared" si="90"/>
        <v>1</v>
      </c>
      <c r="N294" s="193" t="s">
        <v>221</v>
      </c>
      <c r="O294" s="194" t="s">
        <v>903</v>
      </c>
      <c r="P294" s="195">
        <v>1</v>
      </c>
      <c r="Q294" s="196">
        <f t="shared" si="85"/>
        <v>482500000</v>
      </c>
      <c r="R294" s="196">
        <f t="shared" si="86"/>
        <v>482500000</v>
      </c>
      <c r="S294" s="197" t="s">
        <v>217</v>
      </c>
      <c r="T294" s="193">
        <v>0</v>
      </c>
      <c r="U294" s="198" t="str">
        <f t="shared" si="87"/>
        <v>SUBDIRECCION DE GESTION CONTRACTUAL</v>
      </c>
      <c r="V294" s="185" t="str">
        <f t="shared" si="88"/>
        <v>CO-DC</v>
      </c>
      <c r="W294" s="198" t="str">
        <f t="shared" si="89"/>
        <v>Distrito Capital de Bogotá</v>
      </c>
      <c r="X294" s="199" t="s">
        <v>103</v>
      </c>
      <c r="Y294" s="202">
        <v>2427400</v>
      </c>
      <c r="Z294" s="200" t="s">
        <v>339</v>
      </c>
    </row>
    <row r="295" spans="1:26" s="7" customFormat="1" ht="12.75" customHeight="1" x14ac:dyDescent="0.2">
      <c r="A295" s="184" t="s">
        <v>97</v>
      </c>
      <c r="B295" s="185">
        <v>30</v>
      </c>
      <c r="C295" s="186" t="s">
        <v>352</v>
      </c>
      <c r="D295" s="186" t="s">
        <v>98</v>
      </c>
      <c r="E295" s="187"/>
      <c r="F295" s="187">
        <v>100000000</v>
      </c>
      <c r="G295" s="187"/>
      <c r="H295" s="188" t="s">
        <v>565</v>
      </c>
      <c r="I295" s="189" t="s">
        <v>344</v>
      </c>
      <c r="J295" s="190">
        <v>8</v>
      </c>
      <c r="K295" s="191">
        <v>8</v>
      </c>
      <c r="L295" s="192">
        <v>4</v>
      </c>
      <c r="M295" s="185">
        <v>1</v>
      </c>
      <c r="N295" s="193" t="s">
        <v>210</v>
      </c>
      <c r="O295" s="194" t="s">
        <v>264</v>
      </c>
      <c r="P295" s="195">
        <v>1</v>
      </c>
      <c r="Q295" s="196">
        <f t="shared" si="85"/>
        <v>100000000</v>
      </c>
      <c r="R295" s="196">
        <f t="shared" si="86"/>
        <v>100000000</v>
      </c>
      <c r="S295" s="197" t="s">
        <v>217</v>
      </c>
      <c r="T295" s="193">
        <v>0</v>
      </c>
      <c r="U295" s="198" t="str">
        <f t="shared" si="87"/>
        <v>SUBDIRECCION DE GESTION CONTRACTUAL</v>
      </c>
      <c r="V295" s="185" t="str">
        <f t="shared" si="88"/>
        <v>CO-DC</v>
      </c>
      <c r="W295" s="198" t="str">
        <f t="shared" si="89"/>
        <v>Distrito Capital de Bogotá</v>
      </c>
      <c r="X295" s="199" t="s">
        <v>299</v>
      </c>
      <c r="Y295" s="185">
        <v>2427400</v>
      </c>
      <c r="Z295" s="200" t="s">
        <v>92</v>
      </c>
    </row>
    <row r="296" spans="1:26" s="7" customFormat="1" ht="12.75" customHeight="1" x14ac:dyDescent="0.2">
      <c r="A296" s="184" t="s">
        <v>97</v>
      </c>
      <c r="B296" s="185">
        <v>31</v>
      </c>
      <c r="C296" s="186" t="s">
        <v>352</v>
      </c>
      <c r="D296" s="186" t="s">
        <v>98</v>
      </c>
      <c r="E296" s="187"/>
      <c r="F296" s="187">
        <v>198963482</v>
      </c>
      <c r="G296" s="187"/>
      <c r="H296" s="188" t="s">
        <v>101</v>
      </c>
      <c r="I296" s="189" t="s">
        <v>551</v>
      </c>
      <c r="J296" s="190">
        <v>2</v>
      </c>
      <c r="K296" s="191">
        <v>3</v>
      </c>
      <c r="L296" s="192">
        <v>10</v>
      </c>
      <c r="M296" s="185">
        <f>IF(ISBLANK(J296),"",1)</f>
        <v>1</v>
      </c>
      <c r="N296" s="193" t="s">
        <v>36</v>
      </c>
      <c r="O296" s="194" t="s">
        <v>256</v>
      </c>
      <c r="P296" s="195">
        <v>1</v>
      </c>
      <c r="Q296" s="196">
        <f t="shared" si="85"/>
        <v>198963482</v>
      </c>
      <c r="R296" s="196">
        <f t="shared" si="86"/>
        <v>198963482</v>
      </c>
      <c r="S296" s="197" t="s">
        <v>217</v>
      </c>
      <c r="T296" s="193">
        <v>0</v>
      </c>
      <c r="U296" s="198" t="str">
        <f t="shared" si="87"/>
        <v>SUBDIRECCION DE GESTION CONTRACTUAL</v>
      </c>
      <c r="V296" s="185" t="str">
        <f t="shared" si="88"/>
        <v>CO-DC</v>
      </c>
      <c r="W296" s="198" t="str">
        <f t="shared" si="89"/>
        <v>Distrito Capital de Bogotá</v>
      </c>
      <c r="X296" s="199" t="s">
        <v>103</v>
      </c>
      <c r="Y296" s="202">
        <v>2427400</v>
      </c>
      <c r="Z296" s="200" t="s">
        <v>339</v>
      </c>
    </row>
    <row r="297" spans="1:26" s="7" customFormat="1" ht="12.75" customHeight="1" x14ac:dyDescent="0.2">
      <c r="A297" s="184" t="s">
        <v>97</v>
      </c>
      <c r="B297" s="185">
        <v>32</v>
      </c>
      <c r="C297" s="186" t="s">
        <v>352</v>
      </c>
      <c r="D297" s="186" t="s">
        <v>98</v>
      </c>
      <c r="E297" s="187"/>
      <c r="F297" s="187">
        <f>150000000-83000000</f>
        <v>67000000</v>
      </c>
      <c r="G297" s="187"/>
      <c r="H297" s="188" t="s">
        <v>117</v>
      </c>
      <c r="I297" s="189" t="s">
        <v>778</v>
      </c>
      <c r="J297" s="206">
        <v>6</v>
      </c>
      <c r="K297" s="206">
        <v>6</v>
      </c>
      <c r="L297" s="206">
        <v>6</v>
      </c>
      <c r="M297" s="185">
        <f>IF(ISBLANK(J297),"",1)</f>
        <v>1</v>
      </c>
      <c r="N297" s="201" t="s">
        <v>210</v>
      </c>
      <c r="O297" s="194" t="s">
        <v>264</v>
      </c>
      <c r="P297" s="195">
        <v>1</v>
      </c>
      <c r="Q297" s="196">
        <f t="shared" si="85"/>
        <v>67000000</v>
      </c>
      <c r="R297" s="196">
        <f t="shared" si="86"/>
        <v>67000000</v>
      </c>
      <c r="S297" s="197" t="s">
        <v>217</v>
      </c>
      <c r="T297" s="193">
        <v>0</v>
      </c>
      <c r="U297" s="198" t="str">
        <f t="shared" si="87"/>
        <v>SUBDIRECCION DE GESTION CONTRACTUAL</v>
      </c>
      <c r="V297" s="185" t="str">
        <f t="shared" si="88"/>
        <v>CO-DC</v>
      </c>
      <c r="W297" s="198" t="str">
        <f t="shared" si="89"/>
        <v>Distrito Capital de Bogotá</v>
      </c>
      <c r="X297" s="199" t="s">
        <v>883</v>
      </c>
      <c r="Y297" s="202" t="s">
        <v>884</v>
      </c>
      <c r="Z297" s="200" t="s">
        <v>885</v>
      </c>
    </row>
    <row r="298" spans="1:26" s="7" customFormat="1" ht="12.75" customHeight="1" x14ac:dyDescent="0.2">
      <c r="A298" s="184" t="s">
        <v>97</v>
      </c>
      <c r="B298" s="185">
        <v>33</v>
      </c>
      <c r="C298" s="186" t="s">
        <v>352</v>
      </c>
      <c r="D298" s="186" t="s">
        <v>98</v>
      </c>
      <c r="E298" s="187"/>
      <c r="F298" s="187">
        <f>2224340000-500000000</f>
        <v>1724340000</v>
      </c>
      <c r="G298" s="187"/>
      <c r="H298" s="188" t="s">
        <v>99</v>
      </c>
      <c r="I298" s="189" t="s">
        <v>348</v>
      </c>
      <c r="J298" s="206">
        <v>6</v>
      </c>
      <c r="K298" s="206">
        <v>6</v>
      </c>
      <c r="L298" s="206">
        <v>6</v>
      </c>
      <c r="M298" s="185">
        <f>IF(ISBLANK(J298),"",1)</f>
        <v>1</v>
      </c>
      <c r="N298" s="193" t="s">
        <v>36</v>
      </c>
      <c r="O298" s="194" t="s">
        <v>256</v>
      </c>
      <c r="P298" s="195">
        <v>1</v>
      </c>
      <c r="Q298" s="196">
        <f t="shared" si="85"/>
        <v>1724340000</v>
      </c>
      <c r="R298" s="196">
        <f t="shared" si="86"/>
        <v>1724340000</v>
      </c>
      <c r="S298" s="197" t="s">
        <v>217</v>
      </c>
      <c r="T298" s="193">
        <v>0</v>
      </c>
      <c r="U298" s="198" t="str">
        <f t="shared" si="87"/>
        <v>SUBDIRECCION DE GESTION CONTRACTUAL</v>
      </c>
      <c r="V298" s="185" t="str">
        <f t="shared" si="88"/>
        <v>CO-DC</v>
      </c>
      <c r="W298" s="198" t="str">
        <f t="shared" si="89"/>
        <v>Distrito Capital de Bogotá</v>
      </c>
      <c r="X298" s="199" t="s">
        <v>103</v>
      </c>
      <c r="Y298" s="202">
        <v>2427400</v>
      </c>
      <c r="Z298" s="200" t="s">
        <v>339</v>
      </c>
    </row>
    <row r="299" spans="1:26" s="7" customFormat="1" ht="12.75" customHeight="1" x14ac:dyDescent="0.2">
      <c r="A299" s="184" t="s">
        <v>97</v>
      </c>
      <c r="B299" s="185">
        <v>34</v>
      </c>
      <c r="C299" s="186" t="s">
        <v>352</v>
      </c>
      <c r="D299" s="186" t="s">
        <v>98</v>
      </c>
      <c r="E299" s="187"/>
      <c r="F299" s="187">
        <v>150000000</v>
      </c>
      <c r="G299" s="187"/>
      <c r="H299" s="188" t="s">
        <v>828</v>
      </c>
      <c r="I299" s="189" t="s">
        <v>887</v>
      </c>
      <c r="J299" s="206">
        <v>5</v>
      </c>
      <c r="K299" s="206">
        <v>5</v>
      </c>
      <c r="L299" s="206">
        <v>7</v>
      </c>
      <c r="M299" s="185">
        <v>1</v>
      </c>
      <c r="N299" s="193" t="s">
        <v>210</v>
      </c>
      <c r="O299" s="194" t="s">
        <v>264</v>
      </c>
      <c r="P299" s="195">
        <v>1</v>
      </c>
      <c r="Q299" s="196">
        <f t="shared" ref="Q299:Q330" si="91">+E299+F299+G299</f>
        <v>150000000</v>
      </c>
      <c r="R299" s="196">
        <f t="shared" ref="R299:R330" si="92">+F299</f>
        <v>150000000</v>
      </c>
      <c r="S299" s="197" t="s">
        <v>217</v>
      </c>
      <c r="T299" s="193">
        <v>0</v>
      </c>
      <c r="U299" s="198" t="str">
        <f t="shared" si="87"/>
        <v>SUBDIRECCION DE GESTION CONTRACTUAL</v>
      </c>
      <c r="V299" s="185" t="str">
        <f t="shared" si="88"/>
        <v>CO-DC</v>
      </c>
      <c r="W299" s="198" t="str">
        <f t="shared" si="89"/>
        <v>Distrito Capital de Bogotá</v>
      </c>
      <c r="X299" s="199" t="s">
        <v>103</v>
      </c>
      <c r="Y299" s="202">
        <v>2427400</v>
      </c>
      <c r="Z299" s="200" t="s">
        <v>339</v>
      </c>
    </row>
    <row r="300" spans="1:26" s="7" customFormat="1" ht="12.75" customHeight="1" x14ac:dyDescent="0.2">
      <c r="A300" s="184" t="s">
        <v>97</v>
      </c>
      <c r="B300" s="185">
        <v>35</v>
      </c>
      <c r="C300" s="186" t="s">
        <v>352</v>
      </c>
      <c r="D300" s="186" t="s">
        <v>927</v>
      </c>
      <c r="E300" s="187"/>
      <c r="F300" s="187">
        <v>1079500000</v>
      </c>
      <c r="G300" s="187"/>
      <c r="H300" s="188">
        <v>82111902</v>
      </c>
      <c r="I300" s="189" t="s">
        <v>353</v>
      </c>
      <c r="J300" s="206">
        <v>5</v>
      </c>
      <c r="K300" s="206">
        <v>5</v>
      </c>
      <c r="L300" s="206">
        <v>7</v>
      </c>
      <c r="M300" s="185">
        <v>1</v>
      </c>
      <c r="N300" s="193" t="s">
        <v>210</v>
      </c>
      <c r="O300" s="194" t="s">
        <v>264</v>
      </c>
      <c r="P300" s="195">
        <v>1</v>
      </c>
      <c r="Q300" s="196">
        <f t="shared" si="91"/>
        <v>1079500000</v>
      </c>
      <c r="R300" s="196">
        <f t="shared" si="92"/>
        <v>1079500000</v>
      </c>
      <c r="S300" s="197" t="s">
        <v>217</v>
      </c>
      <c r="T300" s="193">
        <v>0</v>
      </c>
      <c r="U300" s="198" t="str">
        <f t="shared" si="87"/>
        <v>SUBDIRECCION DE GESTION CONTRACTUAL</v>
      </c>
      <c r="V300" s="185" t="str">
        <f t="shared" si="88"/>
        <v>CO-DC</v>
      </c>
      <c r="W300" s="198" t="str">
        <f t="shared" si="89"/>
        <v>Distrito Capital de Bogotá</v>
      </c>
      <c r="X300" s="199" t="s">
        <v>103</v>
      </c>
      <c r="Y300" s="202">
        <v>2427400</v>
      </c>
      <c r="Z300" s="200" t="s">
        <v>339</v>
      </c>
    </row>
    <row r="301" spans="1:26" s="7" customFormat="1" ht="12.75" customHeight="1" x14ac:dyDescent="0.2">
      <c r="A301" s="184" t="s">
        <v>97</v>
      </c>
      <c r="B301" s="185">
        <v>36</v>
      </c>
      <c r="C301" s="186" t="s">
        <v>352</v>
      </c>
      <c r="D301" s="186" t="s">
        <v>98</v>
      </c>
      <c r="E301" s="187"/>
      <c r="F301" s="187">
        <f>120000000-120000000</f>
        <v>0</v>
      </c>
      <c r="G301" s="187"/>
      <c r="H301" s="188" t="s">
        <v>341</v>
      </c>
      <c r="I301" s="189" t="s">
        <v>354</v>
      </c>
      <c r="J301" s="206">
        <v>3</v>
      </c>
      <c r="K301" s="206">
        <v>4</v>
      </c>
      <c r="L301" s="206">
        <v>4</v>
      </c>
      <c r="M301" s="185">
        <f t="shared" ref="M301:M307" si="93">IF(ISBLANK(J301),"",1)</f>
        <v>1</v>
      </c>
      <c r="N301" s="193" t="s">
        <v>36</v>
      </c>
      <c r="O301" s="194" t="s">
        <v>256</v>
      </c>
      <c r="P301" s="195">
        <v>1</v>
      </c>
      <c r="Q301" s="196">
        <f t="shared" si="91"/>
        <v>0</v>
      </c>
      <c r="R301" s="196">
        <f t="shared" si="92"/>
        <v>0</v>
      </c>
      <c r="S301" s="197" t="s">
        <v>217</v>
      </c>
      <c r="T301" s="193">
        <v>0</v>
      </c>
      <c r="U301" s="198" t="str">
        <f t="shared" si="87"/>
        <v>SUBDIRECCION DE GESTION CONTRACTUAL</v>
      </c>
      <c r="V301" s="185" t="str">
        <f t="shared" si="88"/>
        <v>CO-DC</v>
      </c>
      <c r="W301" s="198" t="str">
        <f t="shared" si="89"/>
        <v>Distrito Capital de Bogotá</v>
      </c>
      <c r="X301" s="199" t="s">
        <v>103</v>
      </c>
      <c r="Y301" s="202">
        <v>2427400</v>
      </c>
      <c r="Z301" s="200" t="s">
        <v>339</v>
      </c>
    </row>
    <row r="302" spans="1:26" s="7" customFormat="1" ht="12.75" customHeight="1" x14ac:dyDescent="0.2">
      <c r="A302" s="184" t="s">
        <v>97</v>
      </c>
      <c r="B302" s="185">
        <v>37</v>
      </c>
      <c r="C302" s="186" t="s">
        <v>352</v>
      </c>
      <c r="D302" s="186" t="s">
        <v>98</v>
      </c>
      <c r="E302" s="187"/>
      <c r="F302" s="187">
        <v>842356160</v>
      </c>
      <c r="G302" s="187"/>
      <c r="H302" s="188" t="s">
        <v>914</v>
      </c>
      <c r="I302" s="189" t="s">
        <v>886</v>
      </c>
      <c r="J302" s="206">
        <v>5</v>
      </c>
      <c r="K302" s="206">
        <v>5</v>
      </c>
      <c r="L302" s="206">
        <v>7</v>
      </c>
      <c r="M302" s="185">
        <f t="shared" si="93"/>
        <v>1</v>
      </c>
      <c r="N302" s="193" t="s">
        <v>36</v>
      </c>
      <c r="O302" s="194" t="s">
        <v>256</v>
      </c>
      <c r="P302" s="195">
        <v>1</v>
      </c>
      <c r="Q302" s="196">
        <f t="shared" si="91"/>
        <v>842356160</v>
      </c>
      <c r="R302" s="196">
        <f t="shared" si="92"/>
        <v>842356160</v>
      </c>
      <c r="S302" s="197" t="s">
        <v>217</v>
      </c>
      <c r="T302" s="193">
        <v>0</v>
      </c>
      <c r="U302" s="198" t="str">
        <f t="shared" si="87"/>
        <v>SUBDIRECCION DE GESTION CONTRACTUAL</v>
      </c>
      <c r="V302" s="185" t="str">
        <f t="shared" si="88"/>
        <v>CO-DC</v>
      </c>
      <c r="W302" s="198" t="str">
        <f t="shared" si="89"/>
        <v>Distrito Capital de Bogotá</v>
      </c>
      <c r="X302" s="199" t="s">
        <v>103</v>
      </c>
      <c r="Y302" s="202">
        <v>2427400</v>
      </c>
      <c r="Z302" s="200" t="s">
        <v>339</v>
      </c>
    </row>
    <row r="303" spans="1:26" s="7" customFormat="1" ht="12.75" customHeight="1" x14ac:dyDescent="0.2">
      <c r="A303" s="184" t="s">
        <v>97</v>
      </c>
      <c r="B303" s="185">
        <v>38</v>
      </c>
      <c r="C303" s="186" t="s">
        <v>352</v>
      </c>
      <c r="D303" s="186" t="s">
        <v>98</v>
      </c>
      <c r="E303" s="187"/>
      <c r="F303" s="187">
        <v>181300000</v>
      </c>
      <c r="G303" s="187"/>
      <c r="H303" s="202" t="s">
        <v>911</v>
      </c>
      <c r="I303" s="189" t="s">
        <v>888</v>
      </c>
      <c r="J303" s="206">
        <v>6</v>
      </c>
      <c r="K303" s="206">
        <v>6</v>
      </c>
      <c r="L303" s="206">
        <v>6</v>
      </c>
      <c r="M303" s="185">
        <f t="shared" si="93"/>
        <v>1</v>
      </c>
      <c r="N303" s="193" t="s">
        <v>36</v>
      </c>
      <c r="O303" s="194" t="s">
        <v>256</v>
      </c>
      <c r="P303" s="195">
        <v>1</v>
      </c>
      <c r="Q303" s="196">
        <f t="shared" si="91"/>
        <v>181300000</v>
      </c>
      <c r="R303" s="196">
        <f t="shared" si="92"/>
        <v>181300000</v>
      </c>
      <c r="S303" s="197" t="s">
        <v>217</v>
      </c>
      <c r="T303" s="193">
        <v>0</v>
      </c>
      <c r="U303" s="198" t="str">
        <f t="shared" si="87"/>
        <v>SUBDIRECCION DE GESTION CONTRACTUAL</v>
      </c>
      <c r="V303" s="185" t="str">
        <f t="shared" si="88"/>
        <v>CO-DC</v>
      </c>
      <c r="W303" s="198" t="str">
        <f t="shared" si="89"/>
        <v>Distrito Capital de Bogotá</v>
      </c>
      <c r="X303" s="199" t="s">
        <v>103</v>
      </c>
      <c r="Y303" s="202">
        <v>2427400</v>
      </c>
      <c r="Z303" s="200" t="s">
        <v>339</v>
      </c>
    </row>
    <row r="304" spans="1:26" s="7" customFormat="1" ht="12.75" customHeight="1" x14ac:dyDescent="0.2">
      <c r="A304" s="184" t="s">
        <v>97</v>
      </c>
      <c r="B304" s="185">
        <v>39</v>
      </c>
      <c r="C304" s="186" t="s">
        <v>355</v>
      </c>
      <c r="D304" s="186" t="s">
        <v>98</v>
      </c>
      <c r="E304" s="187"/>
      <c r="F304" s="187">
        <v>444400000</v>
      </c>
      <c r="G304" s="187"/>
      <c r="H304" s="188">
        <v>80111600</v>
      </c>
      <c r="I304" s="189" t="s">
        <v>338</v>
      </c>
      <c r="J304" s="206">
        <v>1</v>
      </c>
      <c r="K304" s="206">
        <v>1</v>
      </c>
      <c r="L304" s="206">
        <v>12</v>
      </c>
      <c r="M304" s="185">
        <f t="shared" si="93"/>
        <v>1</v>
      </c>
      <c r="N304" s="193" t="s">
        <v>210</v>
      </c>
      <c r="O304" s="194" t="s">
        <v>264</v>
      </c>
      <c r="P304" s="195">
        <f>IF(ISBLANK(N304),"",1)</f>
        <v>1</v>
      </c>
      <c r="Q304" s="196">
        <f t="shared" si="91"/>
        <v>444400000</v>
      </c>
      <c r="R304" s="196">
        <f t="shared" si="92"/>
        <v>444400000</v>
      </c>
      <c r="S304" s="197" t="s">
        <v>217</v>
      </c>
      <c r="T304" s="193">
        <f>IF(ISBLANK(S304),"",IF(VALUE(S304)=0,0,IF(VALUE(S304)=1,3,"")))</f>
        <v>0</v>
      </c>
      <c r="U304" s="198" t="str">
        <f t="shared" si="87"/>
        <v>SUBDIRECCION DE GESTION CONTRACTUAL</v>
      </c>
      <c r="V304" s="185" t="str">
        <f t="shared" si="88"/>
        <v>CO-DC</v>
      </c>
      <c r="W304" s="198" t="str">
        <f t="shared" si="89"/>
        <v>Distrito Capital de Bogotá</v>
      </c>
      <c r="X304" s="199" t="s">
        <v>103</v>
      </c>
      <c r="Y304" s="202">
        <v>2427400</v>
      </c>
      <c r="Z304" s="200" t="s">
        <v>339</v>
      </c>
    </row>
    <row r="305" spans="1:26" s="7" customFormat="1" ht="12.75" customHeight="1" x14ac:dyDescent="0.2">
      <c r="A305" s="184" t="s">
        <v>97</v>
      </c>
      <c r="B305" s="185">
        <v>40</v>
      </c>
      <c r="C305" s="186" t="s">
        <v>355</v>
      </c>
      <c r="D305" s="186" t="s">
        <v>98</v>
      </c>
      <c r="E305" s="187"/>
      <c r="F305" s="187">
        <v>48000000</v>
      </c>
      <c r="G305" s="187"/>
      <c r="H305" s="188" t="s">
        <v>42</v>
      </c>
      <c r="I305" s="189" t="s">
        <v>343</v>
      </c>
      <c r="J305" s="190">
        <v>3</v>
      </c>
      <c r="K305" s="191">
        <v>4</v>
      </c>
      <c r="L305" s="192">
        <v>9</v>
      </c>
      <c r="M305" s="185">
        <f t="shared" si="93"/>
        <v>1</v>
      </c>
      <c r="N305" s="193" t="s">
        <v>61</v>
      </c>
      <c r="O305" s="194" t="s">
        <v>902</v>
      </c>
      <c r="P305" s="195">
        <v>1</v>
      </c>
      <c r="Q305" s="196">
        <f t="shared" si="91"/>
        <v>48000000</v>
      </c>
      <c r="R305" s="196">
        <f t="shared" si="92"/>
        <v>48000000</v>
      </c>
      <c r="S305" s="197" t="s">
        <v>217</v>
      </c>
      <c r="T305" s="193">
        <v>0</v>
      </c>
      <c r="U305" s="198" t="str">
        <f t="shared" si="87"/>
        <v>SUBDIRECCION DE GESTION CONTRACTUAL</v>
      </c>
      <c r="V305" s="185" t="str">
        <f t="shared" si="88"/>
        <v>CO-DC</v>
      </c>
      <c r="W305" s="198" t="str">
        <f t="shared" si="89"/>
        <v>Distrito Capital de Bogotá</v>
      </c>
      <c r="X305" s="199" t="s">
        <v>103</v>
      </c>
      <c r="Y305" s="202">
        <v>2427400</v>
      </c>
      <c r="Z305" s="200" t="s">
        <v>339</v>
      </c>
    </row>
    <row r="306" spans="1:26" s="7" customFormat="1" ht="12.75" customHeight="1" x14ac:dyDescent="0.2">
      <c r="A306" s="184" t="s">
        <v>97</v>
      </c>
      <c r="B306" s="185">
        <v>41</v>
      </c>
      <c r="C306" s="186" t="s">
        <v>355</v>
      </c>
      <c r="D306" s="186" t="s">
        <v>98</v>
      </c>
      <c r="E306" s="187"/>
      <c r="F306" s="187">
        <f>1052189720-15000000</f>
        <v>1037189720</v>
      </c>
      <c r="G306" s="187"/>
      <c r="H306" s="188" t="s">
        <v>710</v>
      </c>
      <c r="I306" s="189" t="s">
        <v>340</v>
      </c>
      <c r="J306" s="190">
        <v>2</v>
      </c>
      <c r="K306" s="191">
        <v>3</v>
      </c>
      <c r="L306" s="192">
        <v>9</v>
      </c>
      <c r="M306" s="185">
        <f t="shared" si="93"/>
        <v>1</v>
      </c>
      <c r="N306" s="193" t="s">
        <v>221</v>
      </c>
      <c r="O306" s="194" t="s">
        <v>903</v>
      </c>
      <c r="P306" s="195">
        <v>1</v>
      </c>
      <c r="Q306" s="196">
        <f t="shared" si="91"/>
        <v>1037189720</v>
      </c>
      <c r="R306" s="196">
        <f t="shared" si="92"/>
        <v>1037189720</v>
      </c>
      <c r="S306" s="197" t="s">
        <v>217</v>
      </c>
      <c r="T306" s="193">
        <v>0</v>
      </c>
      <c r="U306" s="198" t="str">
        <f t="shared" si="87"/>
        <v>SUBDIRECCION DE GESTION CONTRACTUAL</v>
      </c>
      <c r="V306" s="185" t="str">
        <f t="shared" si="88"/>
        <v>CO-DC</v>
      </c>
      <c r="W306" s="198" t="str">
        <f t="shared" si="89"/>
        <v>Distrito Capital de Bogotá</v>
      </c>
      <c r="X306" s="199" t="s">
        <v>103</v>
      </c>
      <c r="Y306" s="202">
        <v>2427400</v>
      </c>
      <c r="Z306" s="200" t="s">
        <v>339</v>
      </c>
    </row>
    <row r="307" spans="1:26" s="7" customFormat="1" ht="12.75" customHeight="1" x14ac:dyDescent="0.2">
      <c r="A307" s="184" t="s">
        <v>97</v>
      </c>
      <c r="B307" s="185">
        <v>42</v>
      </c>
      <c r="C307" s="186" t="s">
        <v>355</v>
      </c>
      <c r="D307" s="186" t="s">
        <v>98</v>
      </c>
      <c r="E307" s="187"/>
      <c r="F307" s="187">
        <v>35000000</v>
      </c>
      <c r="G307" s="187"/>
      <c r="H307" s="188" t="s">
        <v>710</v>
      </c>
      <c r="I307" s="189" t="s">
        <v>340</v>
      </c>
      <c r="J307" s="206">
        <v>2</v>
      </c>
      <c r="K307" s="206">
        <v>3</v>
      </c>
      <c r="L307" s="206">
        <v>9</v>
      </c>
      <c r="M307" s="185">
        <f t="shared" si="93"/>
        <v>1</v>
      </c>
      <c r="N307" s="193" t="s">
        <v>221</v>
      </c>
      <c r="O307" s="194" t="s">
        <v>903</v>
      </c>
      <c r="P307" s="195">
        <v>1</v>
      </c>
      <c r="Q307" s="196">
        <f t="shared" si="91"/>
        <v>35000000</v>
      </c>
      <c r="R307" s="196">
        <f t="shared" si="92"/>
        <v>35000000</v>
      </c>
      <c r="S307" s="197" t="s">
        <v>217</v>
      </c>
      <c r="T307" s="193">
        <v>0</v>
      </c>
      <c r="U307" s="198" t="str">
        <f t="shared" si="87"/>
        <v>SUBDIRECCION DE GESTION CONTRACTUAL</v>
      </c>
      <c r="V307" s="185" t="str">
        <f t="shared" si="88"/>
        <v>CO-DC</v>
      </c>
      <c r="W307" s="198" t="str">
        <f t="shared" si="89"/>
        <v>Distrito Capital de Bogotá</v>
      </c>
      <c r="X307" s="199" t="s">
        <v>103</v>
      </c>
      <c r="Y307" s="202">
        <v>2427400</v>
      </c>
      <c r="Z307" s="200" t="s">
        <v>339</v>
      </c>
    </row>
    <row r="308" spans="1:26" s="7" customFormat="1" ht="12.75" customHeight="1" x14ac:dyDescent="0.2">
      <c r="A308" s="184" t="s">
        <v>97</v>
      </c>
      <c r="B308" s="185">
        <v>43</v>
      </c>
      <c r="C308" s="186" t="s">
        <v>355</v>
      </c>
      <c r="D308" s="186" t="s">
        <v>98</v>
      </c>
      <c r="E308" s="187"/>
      <c r="F308" s="187">
        <v>50000000</v>
      </c>
      <c r="G308" s="187"/>
      <c r="H308" s="188" t="s">
        <v>565</v>
      </c>
      <c r="I308" s="189" t="s">
        <v>344</v>
      </c>
      <c r="J308" s="190">
        <v>8</v>
      </c>
      <c r="K308" s="191">
        <v>8</v>
      </c>
      <c r="L308" s="192">
        <v>4</v>
      </c>
      <c r="M308" s="185">
        <v>1</v>
      </c>
      <c r="N308" s="193" t="s">
        <v>210</v>
      </c>
      <c r="O308" s="194" t="s">
        <v>264</v>
      </c>
      <c r="P308" s="195">
        <v>1</v>
      </c>
      <c r="Q308" s="196">
        <f t="shared" si="91"/>
        <v>50000000</v>
      </c>
      <c r="R308" s="196">
        <f t="shared" si="92"/>
        <v>50000000</v>
      </c>
      <c r="S308" s="197" t="s">
        <v>217</v>
      </c>
      <c r="T308" s="193">
        <v>0</v>
      </c>
      <c r="U308" s="198" t="str">
        <f t="shared" si="87"/>
        <v>SUBDIRECCION DE GESTION CONTRACTUAL</v>
      </c>
      <c r="V308" s="185" t="str">
        <f t="shared" si="88"/>
        <v>CO-DC</v>
      </c>
      <c r="W308" s="198" t="str">
        <f t="shared" si="89"/>
        <v>Distrito Capital de Bogotá</v>
      </c>
      <c r="X308" s="199" t="s">
        <v>299</v>
      </c>
      <c r="Y308" s="185">
        <v>2427400</v>
      </c>
      <c r="Z308" s="200" t="s">
        <v>92</v>
      </c>
    </row>
    <row r="309" spans="1:26" s="7" customFormat="1" ht="12.75" customHeight="1" x14ac:dyDescent="0.2">
      <c r="A309" s="184" t="s">
        <v>97</v>
      </c>
      <c r="B309" s="185">
        <v>44</v>
      </c>
      <c r="C309" s="186" t="s">
        <v>355</v>
      </c>
      <c r="D309" s="186" t="s">
        <v>98</v>
      </c>
      <c r="E309" s="187"/>
      <c r="F309" s="187">
        <v>1000000000</v>
      </c>
      <c r="G309" s="187"/>
      <c r="H309" s="188" t="s">
        <v>356</v>
      </c>
      <c r="I309" s="189" t="s">
        <v>357</v>
      </c>
      <c r="J309" s="206">
        <v>6</v>
      </c>
      <c r="K309" s="206">
        <v>6</v>
      </c>
      <c r="L309" s="206">
        <v>6</v>
      </c>
      <c r="M309" s="185">
        <f>IF(ISBLANK(J309),"",1)</f>
        <v>1</v>
      </c>
      <c r="N309" s="193" t="s">
        <v>36</v>
      </c>
      <c r="O309" s="194" t="s">
        <v>256</v>
      </c>
      <c r="P309" s="195">
        <v>1</v>
      </c>
      <c r="Q309" s="196">
        <f t="shared" si="91"/>
        <v>1000000000</v>
      </c>
      <c r="R309" s="196">
        <f t="shared" si="92"/>
        <v>1000000000</v>
      </c>
      <c r="S309" s="197" t="s">
        <v>217</v>
      </c>
      <c r="T309" s="193">
        <v>0</v>
      </c>
      <c r="U309" s="198" t="str">
        <f t="shared" si="87"/>
        <v>SUBDIRECCION DE GESTION CONTRACTUAL</v>
      </c>
      <c r="V309" s="185" t="str">
        <f t="shared" si="88"/>
        <v>CO-DC</v>
      </c>
      <c r="W309" s="198" t="str">
        <f t="shared" si="89"/>
        <v>Distrito Capital de Bogotá</v>
      </c>
      <c r="X309" s="199" t="s">
        <v>103</v>
      </c>
      <c r="Y309" s="202">
        <v>2427400</v>
      </c>
      <c r="Z309" s="200" t="s">
        <v>339</v>
      </c>
    </row>
    <row r="310" spans="1:26" s="7" customFormat="1" ht="12.75" customHeight="1" x14ac:dyDescent="0.2">
      <c r="A310" s="184" t="s">
        <v>97</v>
      </c>
      <c r="B310" s="185">
        <v>45</v>
      </c>
      <c r="C310" s="186" t="s">
        <v>358</v>
      </c>
      <c r="D310" s="186" t="s">
        <v>98</v>
      </c>
      <c r="E310" s="187"/>
      <c r="F310" s="187">
        <f>398200000+151400000</f>
        <v>549600000</v>
      </c>
      <c r="G310" s="187"/>
      <c r="H310" s="188">
        <v>80111600</v>
      </c>
      <c r="I310" s="189" t="s">
        <v>338</v>
      </c>
      <c r="J310" s="206">
        <v>1</v>
      </c>
      <c r="K310" s="206">
        <v>1</v>
      </c>
      <c r="L310" s="206">
        <v>12</v>
      </c>
      <c r="M310" s="185">
        <f>IF(ISBLANK(J310),"",1)</f>
        <v>1</v>
      </c>
      <c r="N310" s="193" t="s">
        <v>210</v>
      </c>
      <c r="O310" s="194" t="s">
        <v>264</v>
      </c>
      <c r="P310" s="195">
        <f>IF(ISBLANK(N310),"",1)</f>
        <v>1</v>
      </c>
      <c r="Q310" s="196">
        <f t="shared" si="91"/>
        <v>549600000</v>
      </c>
      <c r="R310" s="196">
        <f t="shared" si="92"/>
        <v>549600000</v>
      </c>
      <c r="S310" s="197" t="s">
        <v>217</v>
      </c>
      <c r="T310" s="193">
        <f>IF(ISBLANK(S310),"",IF(VALUE(S310)=0,0,IF(VALUE(S310)=1,3,"")))</f>
        <v>0</v>
      </c>
      <c r="U310" s="198" t="str">
        <f t="shared" si="87"/>
        <v>SUBDIRECCION DE GESTION CONTRACTUAL</v>
      </c>
      <c r="V310" s="185" t="str">
        <f t="shared" si="88"/>
        <v>CO-DC</v>
      </c>
      <c r="W310" s="198" t="str">
        <f t="shared" si="89"/>
        <v>Distrito Capital de Bogotá</v>
      </c>
      <c r="X310" s="199" t="s">
        <v>103</v>
      </c>
      <c r="Y310" s="202">
        <v>2427400</v>
      </c>
      <c r="Z310" s="200" t="s">
        <v>339</v>
      </c>
    </row>
    <row r="311" spans="1:26" s="7" customFormat="1" ht="12.75" customHeight="1" x14ac:dyDescent="0.2">
      <c r="A311" s="184" t="s">
        <v>97</v>
      </c>
      <c r="B311" s="185">
        <v>46</v>
      </c>
      <c r="C311" s="186" t="s">
        <v>358</v>
      </c>
      <c r="D311" s="186" t="s">
        <v>98</v>
      </c>
      <c r="E311" s="187"/>
      <c r="F311" s="187">
        <v>65000000</v>
      </c>
      <c r="G311" s="187"/>
      <c r="H311" s="188" t="s">
        <v>42</v>
      </c>
      <c r="I311" s="189" t="s">
        <v>343</v>
      </c>
      <c r="J311" s="190">
        <v>3</v>
      </c>
      <c r="K311" s="191">
        <v>4</v>
      </c>
      <c r="L311" s="192">
        <v>9</v>
      </c>
      <c r="M311" s="185">
        <f>IF(ISBLANK(J311),"",1)</f>
        <v>1</v>
      </c>
      <c r="N311" s="193" t="s">
        <v>61</v>
      </c>
      <c r="O311" s="194" t="s">
        <v>902</v>
      </c>
      <c r="P311" s="195">
        <v>1</v>
      </c>
      <c r="Q311" s="196">
        <f t="shared" si="91"/>
        <v>65000000</v>
      </c>
      <c r="R311" s="196">
        <f t="shared" si="92"/>
        <v>65000000</v>
      </c>
      <c r="S311" s="197" t="s">
        <v>217</v>
      </c>
      <c r="T311" s="193">
        <v>0</v>
      </c>
      <c r="U311" s="198" t="str">
        <f t="shared" si="87"/>
        <v>SUBDIRECCION DE GESTION CONTRACTUAL</v>
      </c>
      <c r="V311" s="185" t="str">
        <f t="shared" si="88"/>
        <v>CO-DC</v>
      </c>
      <c r="W311" s="198" t="str">
        <f t="shared" si="89"/>
        <v>Distrito Capital de Bogotá</v>
      </c>
      <c r="X311" s="199" t="s">
        <v>103</v>
      </c>
      <c r="Y311" s="202">
        <v>2427400</v>
      </c>
      <c r="Z311" s="200" t="s">
        <v>339</v>
      </c>
    </row>
    <row r="312" spans="1:26" s="7" customFormat="1" ht="12.75" customHeight="1" x14ac:dyDescent="0.2">
      <c r="A312" s="184" t="s">
        <v>97</v>
      </c>
      <c r="B312" s="185">
        <v>47</v>
      </c>
      <c r="C312" s="186" t="s">
        <v>358</v>
      </c>
      <c r="D312" s="186" t="s">
        <v>98</v>
      </c>
      <c r="E312" s="187"/>
      <c r="F312" s="187">
        <v>546887000</v>
      </c>
      <c r="G312" s="187"/>
      <c r="H312" s="188" t="s">
        <v>710</v>
      </c>
      <c r="I312" s="189" t="s">
        <v>340</v>
      </c>
      <c r="J312" s="190">
        <v>2</v>
      </c>
      <c r="K312" s="191">
        <v>3</v>
      </c>
      <c r="L312" s="192">
        <v>9</v>
      </c>
      <c r="M312" s="185">
        <f>IF(ISBLANK(J312),"",1)</f>
        <v>1</v>
      </c>
      <c r="N312" s="193" t="s">
        <v>221</v>
      </c>
      <c r="O312" s="194" t="s">
        <v>903</v>
      </c>
      <c r="P312" s="195">
        <v>1</v>
      </c>
      <c r="Q312" s="196">
        <f t="shared" si="91"/>
        <v>546887000</v>
      </c>
      <c r="R312" s="196">
        <f t="shared" si="92"/>
        <v>546887000</v>
      </c>
      <c r="S312" s="197" t="s">
        <v>217</v>
      </c>
      <c r="T312" s="193">
        <v>0</v>
      </c>
      <c r="U312" s="198" t="str">
        <f t="shared" si="87"/>
        <v>SUBDIRECCION DE GESTION CONTRACTUAL</v>
      </c>
      <c r="V312" s="185" t="str">
        <f t="shared" si="88"/>
        <v>CO-DC</v>
      </c>
      <c r="W312" s="198" t="str">
        <f t="shared" si="89"/>
        <v>Distrito Capital de Bogotá</v>
      </c>
      <c r="X312" s="199" t="s">
        <v>103</v>
      </c>
      <c r="Y312" s="202">
        <v>2427400</v>
      </c>
      <c r="Z312" s="200" t="s">
        <v>339</v>
      </c>
    </row>
    <row r="313" spans="1:26" s="7" customFormat="1" ht="12.75" customHeight="1" x14ac:dyDescent="0.2">
      <c r="A313" s="184" t="s">
        <v>97</v>
      </c>
      <c r="B313" s="185">
        <v>48</v>
      </c>
      <c r="C313" s="186" t="s">
        <v>358</v>
      </c>
      <c r="D313" s="186" t="s">
        <v>98</v>
      </c>
      <c r="E313" s="187"/>
      <c r="F313" s="187">
        <v>30000000</v>
      </c>
      <c r="G313" s="187"/>
      <c r="H313" s="188" t="s">
        <v>710</v>
      </c>
      <c r="I313" s="189" t="s">
        <v>340</v>
      </c>
      <c r="J313" s="206">
        <v>2</v>
      </c>
      <c r="K313" s="206">
        <v>3</v>
      </c>
      <c r="L313" s="206">
        <v>9</v>
      </c>
      <c r="M313" s="185">
        <f>IF(ISBLANK(J313),"",1)</f>
        <v>1</v>
      </c>
      <c r="N313" s="193" t="s">
        <v>221</v>
      </c>
      <c r="O313" s="194" t="s">
        <v>903</v>
      </c>
      <c r="P313" s="195">
        <v>1</v>
      </c>
      <c r="Q313" s="196">
        <f t="shared" si="91"/>
        <v>30000000</v>
      </c>
      <c r="R313" s="196">
        <f t="shared" si="92"/>
        <v>30000000</v>
      </c>
      <c r="S313" s="197" t="s">
        <v>217</v>
      </c>
      <c r="T313" s="193">
        <v>0</v>
      </c>
      <c r="U313" s="198" t="str">
        <f t="shared" si="87"/>
        <v>SUBDIRECCION DE GESTION CONTRACTUAL</v>
      </c>
      <c r="V313" s="185" t="str">
        <f t="shared" si="88"/>
        <v>CO-DC</v>
      </c>
      <c r="W313" s="198" t="str">
        <f t="shared" si="89"/>
        <v>Distrito Capital de Bogotá</v>
      </c>
      <c r="X313" s="199" t="s">
        <v>103</v>
      </c>
      <c r="Y313" s="202">
        <v>2427400</v>
      </c>
      <c r="Z313" s="200" t="s">
        <v>339</v>
      </c>
    </row>
    <row r="314" spans="1:26" s="7" customFormat="1" ht="12.75" customHeight="1" x14ac:dyDescent="0.2">
      <c r="A314" s="184" t="s">
        <v>97</v>
      </c>
      <c r="B314" s="185">
        <v>49</v>
      </c>
      <c r="C314" s="186" t="s">
        <v>358</v>
      </c>
      <c r="D314" s="186" t="s">
        <v>98</v>
      </c>
      <c r="E314" s="187"/>
      <c r="F314" s="187">
        <v>100000000</v>
      </c>
      <c r="G314" s="187"/>
      <c r="H314" s="188" t="s">
        <v>565</v>
      </c>
      <c r="I314" s="189" t="s">
        <v>344</v>
      </c>
      <c r="J314" s="190">
        <v>8</v>
      </c>
      <c r="K314" s="191">
        <v>8</v>
      </c>
      <c r="L314" s="192">
        <v>4</v>
      </c>
      <c r="M314" s="185">
        <v>1</v>
      </c>
      <c r="N314" s="193" t="s">
        <v>210</v>
      </c>
      <c r="O314" s="194" t="s">
        <v>264</v>
      </c>
      <c r="P314" s="195">
        <v>1</v>
      </c>
      <c r="Q314" s="196">
        <f t="shared" si="91"/>
        <v>100000000</v>
      </c>
      <c r="R314" s="196">
        <f t="shared" si="92"/>
        <v>100000000</v>
      </c>
      <c r="S314" s="197" t="s">
        <v>217</v>
      </c>
      <c r="T314" s="193">
        <v>0</v>
      </c>
      <c r="U314" s="198" t="str">
        <f t="shared" si="87"/>
        <v>SUBDIRECCION DE GESTION CONTRACTUAL</v>
      </c>
      <c r="V314" s="185" t="str">
        <f t="shared" si="88"/>
        <v>CO-DC</v>
      </c>
      <c r="W314" s="198" t="str">
        <f t="shared" si="89"/>
        <v>Distrito Capital de Bogotá</v>
      </c>
      <c r="X314" s="199" t="s">
        <v>299</v>
      </c>
      <c r="Y314" s="185">
        <v>2427400</v>
      </c>
      <c r="Z314" s="200" t="s">
        <v>92</v>
      </c>
    </row>
    <row r="315" spans="1:26" s="7" customFormat="1" ht="12.75" customHeight="1" x14ac:dyDescent="0.2">
      <c r="A315" s="184" t="s">
        <v>97</v>
      </c>
      <c r="B315" s="185">
        <v>50</v>
      </c>
      <c r="C315" s="186" t="s">
        <v>358</v>
      </c>
      <c r="D315" s="186" t="s">
        <v>98</v>
      </c>
      <c r="E315" s="187"/>
      <c r="F315" s="187">
        <f>151400000-151400000</f>
        <v>0</v>
      </c>
      <c r="G315" s="187"/>
      <c r="H315" s="188" t="s">
        <v>99</v>
      </c>
      <c r="I315" s="189" t="s">
        <v>348</v>
      </c>
      <c r="J315" s="206">
        <v>6</v>
      </c>
      <c r="K315" s="206">
        <v>6</v>
      </c>
      <c r="L315" s="206">
        <v>6</v>
      </c>
      <c r="M315" s="185">
        <f>IF(ISBLANK(J315),"",1)</f>
        <v>1</v>
      </c>
      <c r="N315" s="193" t="s">
        <v>36</v>
      </c>
      <c r="O315" s="194" t="s">
        <v>256</v>
      </c>
      <c r="P315" s="195">
        <v>1</v>
      </c>
      <c r="Q315" s="196">
        <f t="shared" si="91"/>
        <v>0</v>
      </c>
      <c r="R315" s="196">
        <f t="shared" si="92"/>
        <v>0</v>
      </c>
      <c r="S315" s="197" t="s">
        <v>217</v>
      </c>
      <c r="T315" s="193">
        <v>0</v>
      </c>
      <c r="U315" s="198" t="str">
        <f t="shared" si="87"/>
        <v>SUBDIRECCION DE GESTION CONTRACTUAL</v>
      </c>
      <c r="V315" s="185" t="str">
        <f t="shared" si="88"/>
        <v>CO-DC</v>
      </c>
      <c r="W315" s="198" t="str">
        <f t="shared" si="89"/>
        <v>Distrito Capital de Bogotá</v>
      </c>
      <c r="X315" s="199" t="s">
        <v>103</v>
      </c>
      <c r="Y315" s="202">
        <v>2427400</v>
      </c>
      <c r="Z315" s="200" t="s">
        <v>339</v>
      </c>
    </row>
    <row r="316" spans="1:26" s="7" customFormat="1" ht="12.75" customHeight="1" x14ac:dyDescent="0.2">
      <c r="A316" s="184" t="s">
        <v>97</v>
      </c>
      <c r="B316" s="185">
        <v>51</v>
      </c>
      <c r="C316" s="186" t="s">
        <v>359</v>
      </c>
      <c r="D316" s="186" t="s">
        <v>98</v>
      </c>
      <c r="E316" s="187"/>
      <c r="F316" s="187">
        <v>406000000</v>
      </c>
      <c r="G316" s="187"/>
      <c r="H316" s="188">
        <v>80111600</v>
      </c>
      <c r="I316" s="189" t="s">
        <v>338</v>
      </c>
      <c r="J316" s="206">
        <v>1</v>
      </c>
      <c r="K316" s="206">
        <v>1</v>
      </c>
      <c r="L316" s="206">
        <v>12</v>
      </c>
      <c r="M316" s="185">
        <f>IF(ISBLANK(J316),"",1)</f>
        <v>1</v>
      </c>
      <c r="N316" s="193" t="s">
        <v>210</v>
      </c>
      <c r="O316" s="194" t="s">
        <v>264</v>
      </c>
      <c r="P316" s="195">
        <f>IF(ISBLANK(N316),"",1)</f>
        <v>1</v>
      </c>
      <c r="Q316" s="196">
        <f t="shared" si="91"/>
        <v>406000000</v>
      </c>
      <c r="R316" s="196">
        <f t="shared" si="92"/>
        <v>406000000</v>
      </c>
      <c r="S316" s="197" t="s">
        <v>217</v>
      </c>
      <c r="T316" s="193">
        <f>IF(ISBLANK(S316),"",IF(VALUE(S316)=0,0,IF(VALUE(S316)=1,3,"")))</f>
        <v>0</v>
      </c>
      <c r="U316" s="198" t="str">
        <f t="shared" si="87"/>
        <v>SUBDIRECCION DE GESTION CONTRACTUAL</v>
      </c>
      <c r="V316" s="185" t="str">
        <f t="shared" si="88"/>
        <v>CO-DC</v>
      </c>
      <c r="W316" s="198" t="str">
        <f t="shared" si="89"/>
        <v>Distrito Capital de Bogotá</v>
      </c>
      <c r="X316" s="199" t="s">
        <v>103</v>
      </c>
      <c r="Y316" s="202">
        <v>2427400</v>
      </c>
      <c r="Z316" s="200" t="s">
        <v>339</v>
      </c>
    </row>
    <row r="317" spans="1:26" s="7" customFormat="1" ht="12.75" customHeight="1" x14ac:dyDescent="0.2">
      <c r="A317" s="184" t="s">
        <v>97</v>
      </c>
      <c r="B317" s="185">
        <v>52</v>
      </c>
      <c r="C317" s="186" t="s">
        <v>359</v>
      </c>
      <c r="D317" s="186" t="s">
        <v>98</v>
      </c>
      <c r="E317" s="187"/>
      <c r="F317" s="187">
        <v>73920000</v>
      </c>
      <c r="G317" s="187"/>
      <c r="H317" s="188" t="s">
        <v>42</v>
      </c>
      <c r="I317" s="189" t="s">
        <v>343</v>
      </c>
      <c r="J317" s="190">
        <v>3</v>
      </c>
      <c r="K317" s="191">
        <v>4</v>
      </c>
      <c r="L317" s="192">
        <v>9</v>
      </c>
      <c r="M317" s="185">
        <f>IF(ISBLANK(J317),"",1)</f>
        <v>1</v>
      </c>
      <c r="N317" s="193" t="s">
        <v>61</v>
      </c>
      <c r="O317" s="194" t="s">
        <v>902</v>
      </c>
      <c r="P317" s="195">
        <v>1</v>
      </c>
      <c r="Q317" s="196">
        <f t="shared" si="91"/>
        <v>73920000</v>
      </c>
      <c r="R317" s="196">
        <f t="shared" si="92"/>
        <v>73920000</v>
      </c>
      <c r="S317" s="197" t="s">
        <v>217</v>
      </c>
      <c r="T317" s="193">
        <v>0</v>
      </c>
      <c r="U317" s="198" t="str">
        <f t="shared" si="87"/>
        <v>SUBDIRECCION DE GESTION CONTRACTUAL</v>
      </c>
      <c r="V317" s="185" t="str">
        <f t="shared" si="88"/>
        <v>CO-DC</v>
      </c>
      <c r="W317" s="198" t="str">
        <f t="shared" si="89"/>
        <v>Distrito Capital de Bogotá</v>
      </c>
      <c r="X317" s="199" t="s">
        <v>103</v>
      </c>
      <c r="Y317" s="202">
        <v>2427400</v>
      </c>
      <c r="Z317" s="200" t="s">
        <v>339</v>
      </c>
    </row>
    <row r="318" spans="1:26" s="7" customFormat="1" ht="12.75" customHeight="1" x14ac:dyDescent="0.2">
      <c r="A318" s="184" t="s">
        <v>97</v>
      </c>
      <c r="B318" s="185">
        <v>53</v>
      </c>
      <c r="C318" s="186" t="s">
        <v>359</v>
      </c>
      <c r="D318" s="186" t="s">
        <v>98</v>
      </c>
      <c r="E318" s="187"/>
      <c r="F318" s="187">
        <v>469069720</v>
      </c>
      <c r="G318" s="187"/>
      <c r="H318" s="188" t="s">
        <v>710</v>
      </c>
      <c r="I318" s="189" t="s">
        <v>340</v>
      </c>
      <c r="J318" s="190">
        <v>2</v>
      </c>
      <c r="K318" s="191">
        <v>3</v>
      </c>
      <c r="L318" s="192">
        <v>9</v>
      </c>
      <c r="M318" s="185">
        <f>IF(ISBLANK(J318),"",1)</f>
        <v>1</v>
      </c>
      <c r="N318" s="193" t="s">
        <v>221</v>
      </c>
      <c r="O318" s="194" t="s">
        <v>903</v>
      </c>
      <c r="P318" s="195">
        <v>1</v>
      </c>
      <c r="Q318" s="196">
        <f t="shared" si="91"/>
        <v>469069720</v>
      </c>
      <c r="R318" s="196">
        <f t="shared" si="92"/>
        <v>469069720</v>
      </c>
      <c r="S318" s="197" t="s">
        <v>217</v>
      </c>
      <c r="T318" s="193">
        <v>0</v>
      </c>
      <c r="U318" s="198" t="str">
        <f t="shared" si="87"/>
        <v>SUBDIRECCION DE GESTION CONTRACTUAL</v>
      </c>
      <c r="V318" s="185" t="str">
        <f t="shared" si="88"/>
        <v>CO-DC</v>
      </c>
      <c r="W318" s="198" t="str">
        <f t="shared" si="89"/>
        <v>Distrito Capital de Bogotá</v>
      </c>
      <c r="X318" s="199" t="s">
        <v>103</v>
      </c>
      <c r="Y318" s="202">
        <v>2427400</v>
      </c>
      <c r="Z318" s="200" t="s">
        <v>339</v>
      </c>
    </row>
    <row r="319" spans="1:26" s="7" customFormat="1" ht="12.75" customHeight="1" x14ac:dyDescent="0.2">
      <c r="A319" s="184" t="s">
        <v>97</v>
      </c>
      <c r="B319" s="185">
        <v>54</v>
      </c>
      <c r="C319" s="186" t="s">
        <v>359</v>
      </c>
      <c r="D319" s="186" t="s">
        <v>98</v>
      </c>
      <c r="E319" s="187"/>
      <c r="F319" s="187">
        <v>40000000</v>
      </c>
      <c r="G319" s="187"/>
      <c r="H319" s="188" t="s">
        <v>710</v>
      </c>
      <c r="I319" s="189" t="s">
        <v>340</v>
      </c>
      <c r="J319" s="206">
        <v>2</v>
      </c>
      <c r="K319" s="206">
        <v>3</v>
      </c>
      <c r="L319" s="206">
        <v>9</v>
      </c>
      <c r="M319" s="185">
        <f>IF(ISBLANK(J319),"",1)</f>
        <v>1</v>
      </c>
      <c r="N319" s="193" t="s">
        <v>221</v>
      </c>
      <c r="O319" s="194" t="s">
        <v>903</v>
      </c>
      <c r="P319" s="195">
        <v>1</v>
      </c>
      <c r="Q319" s="196">
        <f t="shared" si="91"/>
        <v>40000000</v>
      </c>
      <c r="R319" s="196">
        <f t="shared" si="92"/>
        <v>40000000</v>
      </c>
      <c r="S319" s="197" t="s">
        <v>217</v>
      </c>
      <c r="T319" s="193">
        <v>0</v>
      </c>
      <c r="U319" s="198" t="str">
        <f t="shared" si="87"/>
        <v>SUBDIRECCION DE GESTION CONTRACTUAL</v>
      </c>
      <c r="V319" s="185" t="str">
        <f t="shared" si="88"/>
        <v>CO-DC</v>
      </c>
      <c r="W319" s="198" t="str">
        <f t="shared" si="89"/>
        <v>Distrito Capital de Bogotá</v>
      </c>
      <c r="X319" s="199" t="s">
        <v>103</v>
      </c>
      <c r="Y319" s="202">
        <v>2427400</v>
      </c>
      <c r="Z319" s="200" t="s">
        <v>339</v>
      </c>
    </row>
    <row r="320" spans="1:26" s="7" customFormat="1" ht="12.75" customHeight="1" x14ac:dyDescent="0.2">
      <c r="A320" s="184" t="s">
        <v>97</v>
      </c>
      <c r="B320" s="185">
        <v>55</v>
      </c>
      <c r="C320" s="186" t="s">
        <v>359</v>
      </c>
      <c r="D320" s="186" t="s">
        <v>98</v>
      </c>
      <c r="E320" s="187"/>
      <c r="F320" s="187">
        <v>50000000</v>
      </c>
      <c r="G320" s="187"/>
      <c r="H320" s="188" t="s">
        <v>565</v>
      </c>
      <c r="I320" s="189" t="s">
        <v>344</v>
      </c>
      <c r="J320" s="190">
        <v>8</v>
      </c>
      <c r="K320" s="191">
        <v>8</v>
      </c>
      <c r="L320" s="192">
        <v>4</v>
      </c>
      <c r="M320" s="185">
        <v>1</v>
      </c>
      <c r="N320" s="193" t="s">
        <v>210</v>
      </c>
      <c r="O320" s="194" t="s">
        <v>264</v>
      </c>
      <c r="P320" s="195">
        <v>1</v>
      </c>
      <c r="Q320" s="196">
        <f t="shared" si="91"/>
        <v>50000000</v>
      </c>
      <c r="R320" s="196">
        <f t="shared" si="92"/>
        <v>50000000</v>
      </c>
      <c r="S320" s="197" t="s">
        <v>217</v>
      </c>
      <c r="T320" s="193">
        <v>0</v>
      </c>
      <c r="U320" s="198" t="str">
        <f t="shared" si="87"/>
        <v>SUBDIRECCION DE GESTION CONTRACTUAL</v>
      </c>
      <c r="V320" s="185" t="str">
        <f t="shared" si="88"/>
        <v>CO-DC</v>
      </c>
      <c r="W320" s="198" t="str">
        <f t="shared" si="89"/>
        <v>Distrito Capital de Bogotá</v>
      </c>
      <c r="X320" s="199" t="s">
        <v>299</v>
      </c>
      <c r="Y320" s="185">
        <v>2427400</v>
      </c>
      <c r="Z320" s="200" t="s">
        <v>92</v>
      </c>
    </row>
    <row r="321" spans="1:26" s="7" customFormat="1" ht="12.75" customHeight="1" x14ac:dyDescent="0.2">
      <c r="A321" s="184" t="s">
        <v>97</v>
      </c>
      <c r="B321" s="185">
        <v>56</v>
      </c>
      <c r="C321" s="186" t="s">
        <v>359</v>
      </c>
      <c r="D321" s="186" t="s">
        <v>98</v>
      </c>
      <c r="E321" s="187"/>
      <c r="F321" s="187">
        <v>78000000</v>
      </c>
      <c r="G321" s="187"/>
      <c r="H321" s="202" t="s">
        <v>912</v>
      </c>
      <c r="I321" s="189" t="s">
        <v>889</v>
      </c>
      <c r="J321" s="206">
        <v>6</v>
      </c>
      <c r="K321" s="206">
        <v>6</v>
      </c>
      <c r="L321" s="206">
        <v>6</v>
      </c>
      <c r="M321" s="185">
        <f>IF(ISBLANK(J321),"",1)</f>
        <v>1</v>
      </c>
      <c r="N321" s="193" t="s">
        <v>36</v>
      </c>
      <c r="O321" s="194" t="s">
        <v>256</v>
      </c>
      <c r="P321" s="195">
        <v>1</v>
      </c>
      <c r="Q321" s="196">
        <f t="shared" si="91"/>
        <v>78000000</v>
      </c>
      <c r="R321" s="196">
        <f t="shared" si="92"/>
        <v>78000000</v>
      </c>
      <c r="S321" s="197" t="s">
        <v>217</v>
      </c>
      <c r="T321" s="193">
        <v>0</v>
      </c>
      <c r="U321" s="198" t="str">
        <f t="shared" si="87"/>
        <v>SUBDIRECCION DE GESTION CONTRACTUAL</v>
      </c>
      <c r="V321" s="185" t="str">
        <f t="shared" si="88"/>
        <v>CO-DC</v>
      </c>
      <c r="W321" s="198" t="str">
        <f t="shared" si="89"/>
        <v>Distrito Capital de Bogotá</v>
      </c>
      <c r="X321" s="199" t="s">
        <v>103</v>
      </c>
      <c r="Y321" s="202">
        <v>2427400</v>
      </c>
      <c r="Z321" s="200" t="s">
        <v>339</v>
      </c>
    </row>
    <row r="322" spans="1:26" s="7" customFormat="1" ht="12.75" customHeight="1" x14ac:dyDescent="0.2">
      <c r="A322" s="184" t="s">
        <v>97</v>
      </c>
      <c r="B322" s="185">
        <v>57</v>
      </c>
      <c r="C322" s="186" t="s">
        <v>360</v>
      </c>
      <c r="D322" s="186" t="s">
        <v>98</v>
      </c>
      <c r="E322" s="187"/>
      <c r="F322" s="187">
        <f>1377115426+27500000-12316723</f>
        <v>1392298703</v>
      </c>
      <c r="G322" s="187"/>
      <c r="H322" s="188">
        <v>80111600</v>
      </c>
      <c r="I322" s="189" t="s">
        <v>338</v>
      </c>
      <c r="J322" s="206">
        <v>1</v>
      </c>
      <c r="K322" s="206">
        <v>1</v>
      </c>
      <c r="L322" s="206">
        <v>12</v>
      </c>
      <c r="M322" s="185">
        <f>IF(ISBLANK(J322),"",1)</f>
        <v>1</v>
      </c>
      <c r="N322" s="193" t="s">
        <v>210</v>
      </c>
      <c r="O322" s="194" t="s">
        <v>264</v>
      </c>
      <c r="P322" s="195">
        <f>IF(ISBLANK(N322),"",1)</f>
        <v>1</v>
      </c>
      <c r="Q322" s="196">
        <f t="shared" si="91"/>
        <v>1392298703</v>
      </c>
      <c r="R322" s="196">
        <f t="shared" si="92"/>
        <v>1392298703</v>
      </c>
      <c r="S322" s="197" t="s">
        <v>217</v>
      </c>
      <c r="T322" s="193">
        <f>IF(ISBLANK(S322),"",IF(VALUE(S322)=0,0,IF(VALUE(S322)=1,3,"")))</f>
        <v>0</v>
      </c>
      <c r="U322" s="198" t="str">
        <f t="shared" si="87"/>
        <v>SUBDIRECCION DE GESTION CONTRACTUAL</v>
      </c>
      <c r="V322" s="185" t="str">
        <f t="shared" si="88"/>
        <v>CO-DC</v>
      </c>
      <c r="W322" s="198" t="str">
        <f t="shared" si="89"/>
        <v>Distrito Capital de Bogotá</v>
      </c>
      <c r="X322" s="199" t="s">
        <v>103</v>
      </c>
      <c r="Y322" s="202">
        <v>2427400</v>
      </c>
      <c r="Z322" s="200" t="s">
        <v>339</v>
      </c>
    </row>
    <row r="323" spans="1:26" s="7" customFormat="1" ht="12.75" customHeight="1" x14ac:dyDescent="0.2">
      <c r="A323" s="184" t="s">
        <v>97</v>
      </c>
      <c r="B323" s="185">
        <v>58</v>
      </c>
      <c r="C323" s="186" t="s">
        <v>360</v>
      </c>
      <c r="D323" s="186" t="s">
        <v>98</v>
      </c>
      <c r="E323" s="187"/>
      <c r="F323" s="187">
        <f>300495391+36279840</f>
        <v>336775231</v>
      </c>
      <c r="G323" s="187"/>
      <c r="H323" s="188" t="s">
        <v>42</v>
      </c>
      <c r="I323" s="189" t="s">
        <v>343</v>
      </c>
      <c r="J323" s="190">
        <v>3</v>
      </c>
      <c r="K323" s="191">
        <v>4</v>
      </c>
      <c r="L323" s="192">
        <v>9</v>
      </c>
      <c r="M323" s="185">
        <f>IF(ISBLANK(J323),"",1)</f>
        <v>1</v>
      </c>
      <c r="N323" s="193" t="s">
        <v>61</v>
      </c>
      <c r="O323" s="194" t="s">
        <v>902</v>
      </c>
      <c r="P323" s="195">
        <v>1</v>
      </c>
      <c r="Q323" s="196">
        <f t="shared" si="91"/>
        <v>336775231</v>
      </c>
      <c r="R323" s="196">
        <f t="shared" si="92"/>
        <v>336775231</v>
      </c>
      <c r="S323" s="197" t="s">
        <v>217</v>
      </c>
      <c r="T323" s="193">
        <v>0</v>
      </c>
      <c r="U323" s="198" t="str">
        <f t="shared" si="87"/>
        <v>SUBDIRECCION DE GESTION CONTRACTUAL</v>
      </c>
      <c r="V323" s="185" t="str">
        <f t="shared" si="88"/>
        <v>CO-DC</v>
      </c>
      <c r="W323" s="198" t="str">
        <f t="shared" si="89"/>
        <v>Distrito Capital de Bogotá</v>
      </c>
      <c r="X323" s="199" t="s">
        <v>103</v>
      </c>
      <c r="Y323" s="202">
        <v>2427400</v>
      </c>
      <c r="Z323" s="200" t="s">
        <v>339</v>
      </c>
    </row>
    <row r="324" spans="1:26" s="7" customFormat="1" ht="12.75" customHeight="1" x14ac:dyDescent="0.2">
      <c r="A324" s="184" t="s">
        <v>97</v>
      </c>
      <c r="B324" s="185">
        <v>59</v>
      </c>
      <c r="C324" s="186" t="s">
        <v>360</v>
      </c>
      <c r="D324" s="186" t="s">
        <v>98</v>
      </c>
      <c r="E324" s="187"/>
      <c r="F324" s="187">
        <v>3594000000</v>
      </c>
      <c r="G324" s="187"/>
      <c r="H324" s="188" t="s">
        <v>710</v>
      </c>
      <c r="I324" s="189" t="s">
        <v>340</v>
      </c>
      <c r="J324" s="190">
        <v>2</v>
      </c>
      <c r="K324" s="191">
        <v>3</v>
      </c>
      <c r="L324" s="192">
        <v>9</v>
      </c>
      <c r="M324" s="185">
        <f>IF(ISBLANK(J324),"",1)</f>
        <v>1</v>
      </c>
      <c r="N324" s="193" t="s">
        <v>221</v>
      </c>
      <c r="O324" s="194" t="s">
        <v>903</v>
      </c>
      <c r="P324" s="195">
        <v>1</v>
      </c>
      <c r="Q324" s="196">
        <f t="shared" si="91"/>
        <v>3594000000</v>
      </c>
      <c r="R324" s="196">
        <f t="shared" si="92"/>
        <v>3594000000</v>
      </c>
      <c r="S324" s="197" t="s">
        <v>217</v>
      </c>
      <c r="T324" s="193">
        <v>0</v>
      </c>
      <c r="U324" s="198" t="str">
        <f t="shared" si="87"/>
        <v>SUBDIRECCION DE GESTION CONTRACTUAL</v>
      </c>
      <c r="V324" s="185" t="str">
        <f t="shared" si="88"/>
        <v>CO-DC</v>
      </c>
      <c r="W324" s="198" t="str">
        <f t="shared" si="89"/>
        <v>Distrito Capital de Bogotá</v>
      </c>
      <c r="X324" s="199" t="s">
        <v>103</v>
      </c>
      <c r="Y324" s="202">
        <v>2427400</v>
      </c>
      <c r="Z324" s="200" t="s">
        <v>339</v>
      </c>
    </row>
    <row r="325" spans="1:26" s="7" customFormat="1" ht="12.75" customHeight="1" x14ac:dyDescent="0.2">
      <c r="A325" s="184" t="s">
        <v>97</v>
      </c>
      <c r="B325" s="185">
        <v>60</v>
      </c>
      <c r="C325" s="186" t="s">
        <v>360</v>
      </c>
      <c r="D325" s="186" t="s">
        <v>98</v>
      </c>
      <c r="E325" s="187"/>
      <c r="F325" s="187">
        <f>50000000-23558467</f>
        <v>26441533</v>
      </c>
      <c r="G325" s="187"/>
      <c r="H325" s="188" t="s">
        <v>710</v>
      </c>
      <c r="I325" s="189" t="s">
        <v>340</v>
      </c>
      <c r="J325" s="206">
        <v>2</v>
      </c>
      <c r="K325" s="206">
        <v>3</v>
      </c>
      <c r="L325" s="206">
        <v>9</v>
      </c>
      <c r="M325" s="185">
        <f>IF(ISBLANK(J325),"",1)</f>
        <v>1</v>
      </c>
      <c r="N325" s="193" t="s">
        <v>221</v>
      </c>
      <c r="O325" s="194" t="s">
        <v>903</v>
      </c>
      <c r="P325" s="195">
        <v>1</v>
      </c>
      <c r="Q325" s="196">
        <f t="shared" si="91"/>
        <v>26441533</v>
      </c>
      <c r="R325" s="196">
        <f t="shared" si="92"/>
        <v>26441533</v>
      </c>
      <c r="S325" s="197" t="s">
        <v>217</v>
      </c>
      <c r="T325" s="193">
        <v>0</v>
      </c>
      <c r="U325" s="198" t="str">
        <f t="shared" si="87"/>
        <v>SUBDIRECCION DE GESTION CONTRACTUAL</v>
      </c>
      <c r="V325" s="185" t="str">
        <f t="shared" si="88"/>
        <v>CO-DC</v>
      </c>
      <c r="W325" s="198" t="str">
        <f t="shared" si="89"/>
        <v>Distrito Capital de Bogotá</v>
      </c>
      <c r="X325" s="199" t="s">
        <v>103</v>
      </c>
      <c r="Y325" s="202">
        <v>2427400</v>
      </c>
      <c r="Z325" s="200" t="s">
        <v>339</v>
      </c>
    </row>
    <row r="326" spans="1:26" s="7" customFormat="1" ht="12.75" customHeight="1" x14ac:dyDescent="0.2">
      <c r="A326" s="184" t="s">
        <v>97</v>
      </c>
      <c r="B326" s="185">
        <v>61</v>
      </c>
      <c r="C326" s="186" t="s">
        <v>360</v>
      </c>
      <c r="D326" s="186" t="s">
        <v>98</v>
      </c>
      <c r="E326" s="187"/>
      <c r="F326" s="187">
        <v>368000000</v>
      </c>
      <c r="G326" s="187"/>
      <c r="H326" s="188" t="s">
        <v>565</v>
      </c>
      <c r="I326" s="189" t="s">
        <v>344</v>
      </c>
      <c r="J326" s="190">
        <v>8</v>
      </c>
      <c r="K326" s="191">
        <v>8</v>
      </c>
      <c r="L326" s="192">
        <v>4</v>
      </c>
      <c r="M326" s="185">
        <v>1</v>
      </c>
      <c r="N326" s="193" t="s">
        <v>210</v>
      </c>
      <c r="O326" s="194" t="s">
        <v>264</v>
      </c>
      <c r="P326" s="195">
        <v>1</v>
      </c>
      <c r="Q326" s="196">
        <f t="shared" si="91"/>
        <v>368000000</v>
      </c>
      <c r="R326" s="196">
        <f t="shared" si="92"/>
        <v>368000000</v>
      </c>
      <c r="S326" s="197" t="s">
        <v>217</v>
      </c>
      <c r="T326" s="193">
        <v>0</v>
      </c>
      <c r="U326" s="198" t="str">
        <f t="shared" si="87"/>
        <v>SUBDIRECCION DE GESTION CONTRACTUAL</v>
      </c>
      <c r="V326" s="185" t="str">
        <f t="shared" si="88"/>
        <v>CO-DC</v>
      </c>
      <c r="W326" s="198" t="str">
        <f t="shared" si="89"/>
        <v>Distrito Capital de Bogotá</v>
      </c>
      <c r="X326" s="199" t="s">
        <v>299</v>
      </c>
      <c r="Y326" s="185">
        <v>2427400</v>
      </c>
      <c r="Z326" s="200" t="s">
        <v>92</v>
      </c>
    </row>
    <row r="327" spans="1:26" s="7" customFormat="1" ht="12.75" customHeight="1" x14ac:dyDescent="0.2">
      <c r="A327" s="184" t="s">
        <v>97</v>
      </c>
      <c r="B327" s="185">
        <v>62</v>
      </c>
      <c r="C327" s="186" t="s">
        <v>360</v>
      </c>
      <c r="D327" s="186" t="s">
        <v>98</v>
      </c>
      <c r="E327" s="187"/>
      <c r="F327" s="187">
        <v>98767510</v>
      </c>
      <c r="G327" s="187"/>
      <c r="H327" s="188" t="s">
        <v>101</v>
      </c>
      <c r="I327" s="189" t="s">
        <v>551</v>
      </c>
      <c r="J327" s="190">
        <v>2</v>
      </c>
      <c r="K327" s="191">
        <v>3</v>
      </c>
      <c r="L327" s="192">
        <v>10</v>
      </c>
      <c r="M327" s="185">
        <f>IF(ISBLANK(J327),"",1)</f>
        <v>1</v>
      </c>
      <c r="N327" s="193" t="s">
        <v>36</v>
      </c>
      <c r="O327" s="194" t="s">
        <v>256</v>
      </c>
      <c r="P327" s="195">
        <v>1</v>
      </c>
      <c r="Q327" s="196">
        <f t="shared" si="91"/>
        <v>98767510</v>
      </c>
      <c r="R327" s="196">
        <f t="shared" si="92"/>
        <v>98767510</v>
      </c>
      <c r="S327" s="197" t="s">
        <v>217</v>
      </c>
      <c r="T327" s="193">
        <v>0</v>
      </c>
      <c r="U327" s="198" t="str">
        <f t="shared" si="87"/>
        <v>SUBDIRECCION DE GESTION CONTRACTUAL</v>
      </c>
      <c r="V327" s="185" t="str">
        <f t="shared" si="88"/>
        <v>CO-DC</v>
      </c>
      <c r="W327" s="198" t="str">
        <f t="shared" si="89"/>
        <v>Distrito Capital de Bogotá</v>
      </c>
      <c r="X327" s="199" t="s">
        <v>103</v>
      </c>
      <c r="Y327" s="202">
        <v>2427400</v>
      </c>
      <c r="Z327" s="200" t="s">
        <v>339</v>
      </c>
    </row>
    <row r="328" spans="1:26" s="7" customFormat="1" ht="12.75" customHeight="1" x14ac:dyDescent="0.2">
      <c r="A328" s="184" t="s">
        <v>97</v>
      </c>
      <c r="B328" s="185">
        <v>63</v>
      </c>
      <c r="C328" s="186" t="s">
        <v>360</v>
      </c>
      <c r="D328" s="186" t="s">
        <v>98</v>
      </c>
      <c r="E328" s="187"/>
      <c r="F328" s="187">
        <f>27500000-27500000</f>
        <v>0</v>
      </c>
      <c r="G328" s="187"/>
      <c r="H328" s="188" t="s">
        <v>51</v>
      </c>
      <c r="I328" s="189" t="s">
        <v>556</v>
      </c>
      <c r="J328" s="190">
        <v>4</v>
      </c>
      <c r="K328" s="191">
        <v>6</v>
      </c>
      <c r="L328" s="192">
        <v>1</v>
      </c>
      <c r="M328" s="185">
        <f>IF(ISBLANK(J328),"",1)</f>
        <v>1</v>
      </c>
      <c r="N328" s="193" t="s">
        <v>43</v>
      </c>
      <c r="O328" s="194" t="s">
        <v>44</v>
      </c>
      <c r="P328" s="195">
        <v>1</v>
      </c>
      <c r="Q328" s="196">
        <f t="shared" si="91"/>
        <v>0</v>
      </c>
      <c r="R328" s="196">
        <f t="shared" si="92"/>
        <v>0</v>
      </c>
      <c r="S328" s="197" t="s">
        <v>217</v>
      </c>
      <c r="T328" s="193">
        <v>0</v>
      </c>
      <c r="U328" s="198" t="str">
        <f t="shared" si="87"/>
        <v>SUBDIRECCION DE GESTION CONTRACTUAL</v>
      </c>
      <c r="V328" s="185" t="str">
        <f t="shared" si="88"/>
        <v>CO-DC</v>
      </c>
      <c r="W328" s="198" t="str">
        <f t="shared" si="89"/>
        <v>Distrito Capital de Bogotá</v>
      </c>
      <c r="X328" s="199" t="s">
        <v>73</v>
      </c>
      <c r="Y328" s="185">
        <v>2427400</v>
      </c>
      <c r="Z328" s="200" t="s">
        <v>74</v>
      </c>
    </row>
    <row r="329" spans="1:26" s="7" customFormat="1" ht="12.75" customHeight="1" x14ac:dyDescent="0.2">
      <c r="A329" s="184" t="s">
        <v>97</v>
      </c>
      <c r="B329" s="185">
        <v>64</v>
      </c>
      <c r="C329" s="186" t="s">
        <v>360</v>
      </c>
      <c r="D329" s="186" t="s">
        <v>98</v>
      </c>
      <c r="E329" s="187"/>
      <c r="F329" s="187">
        <v>1000000000</v>
      </c>
      <c r="G329" s="187"/>
      <c r="H329" s="188" t="s">
        <v>99</v>
      </c>
      <c r="I329" s="189" t="s">
        <v>348</v>
      </c>
      <c r="J329" s="206">
        <v>6</v>
      </c>
      <c r="K329" s="206">
        <v>6</v>
      </c>
      <c r="L329" s="206">
        <v>6</v>
      </c>
      <c r="M329" s="185">
        <f>IF(ISBLANK(J329),"",1)</f>
        <v>1</v>
      </c>
      <c r="N329" s="193" t="s">
        <v>36</v>
      </c>
      <c r="O329" s="194" t="s">
        <v>256</v>
      </c>
      <c r="P329" s="195">
        <v>1</v>
      </c>
      <c r="Q329" s="196">
        <f t="shared" si="91"/>
        <v>1000000000</v>
      </c>
      <c r="R329" s="196">
        <f t="shared" si="92"/>
        <v>1000000000</v>
      </c>
      <c r="S329" s="197" t="s">
        <v>217</v>
      </c>
      <c r="T329" s="193">
        <v>0</v>
      </c>
      <c r="U329" s="198" t="str">
        <f t="shared" si="87"/>
        <v>SUBDIRECCION DE GESTION CONTRACTUAL</v>
      </c>
      <c r="V329" s="185" t="str">
        <f t="shared" si="88"/>
        <v>CO-DC</v>
      </c>
      <c r="W329" s="198" t="str">
        <f t="shared" si="89"/>
        <v>Distrito Capital de Bogotá</v>
      </c>
      <c r="X329" s="199" t="s">
        <v>103</v>
      </c>
      <c r="Y329" s="202">
        <v>2427400</v>
      </c>
      <c r="Z329" s="200" t="s">
        <v>339</v>
      </c>
    </row>
    <row r="330" spans="1:26" s="7" customFormat="1" ht="12.75" customHeight="1" x14ac:dyDescent="0.2">
      <c r="A330" s="184" t="s">
        <v>97</v>
      </c>
      <c r="B330" s="185">
        <v>65</v>
      </c>
      <c r="C330" s="186" t="s">
        <v>360</v>
      </c>
      <c r="D330" s="186" t="s">
        <v>98</v>
      </c>
      <c r="E330" s="187"/>
      <c r="F330" s="187">
        <v>250000000</v>
      </c>
      <c r="G330" s="187"/>
      <c r="H330" s="188" t="s">
        <v>361</v>
      </c>
      <c r="I330" s="189" t="s">
        <v>362</v>
      </c>
      <c r="J330" s="206">
        <v>3</v>
      </c>
      <c r="K330" s="206">
        <v>4</v>
      </c>
      <c r="L330" s="206">
        <v>7</v>
      </c>
      <c r="M330" s="185">
        <f>IF(ISBLANK(J330),"",1)</f>
        <v>1</v>
      </c>
      <c r="N330" s="193" t="s">
        <v>36</v>
      </c>
      <c r="O330" s="194" t="s">
        <v>256</v>
      </c>
      <c r="P330" s="195">
        <v>1</v>
      </c>
      <c r="Q330" s="196">
        <f t="shared" si="91"/>
        <v>250000000</v>
      </c>
      <c r="R330" s="196">
        <f t="shared" si="92"/>
        <v>250000000</v>
      </c>
      <c r="S330" s="197" t="s">
        <v>217</v>
      </c>
      <c r="T330" s="193">
        <v>0</v>
      </c>
      <c r="U330" s="198" t="str">
        <f t="shared" si="87"/>
        <v>SUBDIRECCION DE GESTION CONTRACTUAL</v>
      </c>
      <c r="V330" s="185" t="str">
        <f t="shared" si="88"/>
        <v>CO-DC</v>
      </c>
      <c r="W330" s="198" t="str">
        <f t="shared" si="89"/>
        <v>Distrito Capital de Bogotá</v>
      </c>
      <c r="X330" s="199" t="s">
        <v>103</v>
      </c>
      <c r="Y330" s="202">
        <v>2427400</v>
      </c>
      <c r="Z330" s="200" t="s">
        <v>339</v>
      </c>
    </row>
    <row r="331" spans="1:26" s="7" customFormat="1" ht="12.75" customHeight="1" x14ac:dyDescent="0.2">
      <c r="A331" s="184" t="s">
        <v>97</v>
      </c>
      <c r="B331" s="185">
        <v>66</v>
      </c>
      <c r="C331" s="186" t="s">
        <v>360</v>
      </c>
      <c r="D331" s="186" t="s">
        <v>98</v>
      </c>
      <c r="E331" s="187"/>
      <c r="F331" s="187">
        <v>150000000</v>
      </c>
      <c r="G331" s="187"/>
      <c r="H331" s="188" t="s">
        <v>822</v>
      </c>
      <c r="I331" s="203" t="s">
        <v>823</v>
      </c>
      <c r="J331" s="201">
        <v>5</v>
      </c>
      <c r="K331" s="201">
        <v>5</v>
      </c>
      <c r="L331" s="201">
        <v>7</v>
      </c>
      <c r="M331" s="185">
        <v>1</v>
      </c>
      <c r="N331" s="193" t="s">
        <v>210</v>
      </c>
      <c r="O331" s="194" t="s">
        <v>264</v>
      </c>
      <c r="P331" s="195">
        <v>1</v>
      </c>
      <c r="Q331" s="196">
        <f t="shared" ref="Q331:Q355" si="94">+E331+F331+G331</f>
        <v>150000000</v>
      </c>
      <c r="R331" s="196">
        <f t="shared" ref="R331:R355" si="95">+F331</f>
        <v>150000000</v>
      </c>
      <c r="S331" s="197" t="s">
        <v>217</v>
      </c>
      <c r="T331" s="193">
        <v>0</v>
      </c>
      <c r="U331" s="198" t="str">
        <f t="shared" ref="U331:U394" si="96">IF(ISBLANK(N331),"","SUBDIRECCION DE GESTION CONTRACTUAL")</f>
        <v>SUBDIRECCION DE GESTION CONTRACTUAL</v>
      </c>
      <c r="V331" s="185" t="str">
        <f t="shared" ref="V331:V394" si="97">IF(ISBLANK(N331),"","CO-DC")</f>
        <v>CO-DC</v>
      </c>
      <c r="W331" s="198" t="str">
        <f t="shared" ref="W331:W394" si="98">IF(ISBLANK(N331),"","Distrito Capital de Bogotá")</f>
        <v>Distrito Capital de Bogotá</v>
      </c>
      <c r="X331" s="199" t="s">
        <v>103</v>
      </c>
      <c r="Y331" s="202">
        <v>2427400</v>
      </c>
      <c r="Z331" s="200" t="s">
        <v>339</v>
      </c>
    </row>
    <row r="332" spans="1:26" s="7" customFormat="1" ht="12.75" customHeight="1" x14ac:dyDescent="0.2">
      <c r="A332" s="184" t="s">
        <v>97</v>
      </c>
      <c r="B332" s="185">
        <v>67</v>
      </c>
      <c r="C332" s="186" t="s">
        <v>363</v>
      </c>
      <c r="D332" s="186" t="s">
        <v>98</v>
      </c>
      <c r="E332" s="187"/>
      <c r="F332" s="187">
        <v>5524393742</v>
      </c>
      <c r="G332" s="187"/>
      <c r="H332" s="188">
        <v>80111600</v>
      </c>
      <c r="I332" s="189" t="s">
        <v>338</v>
      </c>
      <c r="J332" s="206">
        <v>1</v>
      </c>
      <c r="K332" s="206">
        <v>1</v>
      </c>
      <c r="L332" s="206">
        <v>12</v>
      </c>
      <c r="M332" s="185">
        <f t="shared" ref="M332:M340" si="99">IF(ISBLANK(J332),"",1)</f>
        <v>1</v>
      </c>
      <c r="N332" s="193" t="s">
        <v>210</v>
      </c>
      <c r="O332" s="194" t="s">
        <v>264</v>
      </c>
      <c r="P332" s="195">
        <f>IF(ISBLANK(N332),"",1)</f>
        <v>1</v>
      </c>
      <c r="Q332" s="196">
        <f t="shared" si="94"/>
        <v>5524393742</v>
      </c>
      <c r="R332" s="196">
        <f t="shared" si="95"/>
        <v>5524393742</v>
      </c>
      <c r="S332" s="197" t="s">
        <v>217</v>
      </c>
      <c r="T332" s="193">
        <f>IF(ISBLANK(S332),"",IF(VALUE(S332)=0,0,IF(VALUE(S332)=1,3,"")))</f>
        <v>0</v>
      </c>
      <c r="U332" s="198" t="str">
        <f t="shared" si="96"/>
        <v>SUBDIRECCION DE GESTION CONTRACTUAL</v>
      </c>
      <c r="V332" s="185" t="str">
        <f t="shared" si="97"/>
        <v>CO-DC</v>
      </c>
      <c r="W332" s="198" t="str">
        <f t="shared" si="98"/>
        <v>Distrito Capital de Bogotá</v>
      </c>
      <c r="X332" s="199" t="s">
        <v>103</v>
      </c>
      <c r="Y332" s="202">
        <v>2427400</v>
      </c>
      <c r="Z332" s="200" t="s">
        <v>339</v>
      </c>
    </row>
    <row r="333" spans="1:26" s="7" customFormat="1" ht="12.75" customHeight="1" x14ac:dyDescent="0.2">
      <c r="A333" s="184" t="s">
        <v>97</v>
      </c>
      <c r="B333" s="185">
        <v>68</v>
      </c>
      <c r="C333" s="186" t="s">
        <v>363</v>
      </c>
      <c r="D333" s="186" t="s">
        <v>98</v>
      </c>
      <c r="E333" s="187"/>
      <c r="F333" s="187">
        <f>200000000+34012350</f>
        <v>234012350</v>
      </c>
      <c r="G333" s="187"/>
      <c r="H333" s="188" t="s">
        <v>42</v>
      </c>
      <c r="I333" s="189" t="s">
        <v>343</v>
      </c>
      <c r="J333" s="190">
        <v>3</v>
      </c>
      <c r="K333" s="191">
        <v>4</v>
      </c>
      <c r="L333" s="192">
        <v>9</v>
      </c>
      <c r="M333" s="185">
        <f t="shared" si="99"/>
        <v>1</v>
      </c>
      <c r="N333" s="193" t="s">
        <v>61</v>
      </c>
      <c r="O333" s="194" t="s">
        <v>902</v>
      </c>
      <c r="P333" s="195">
        <v>1</v>
      </c>
      <c r="Q333" s="196">
        <f t="shared" si="94"/>
        <v>234012350</v>
      </c>
      <c r="R333" s="196">
        <f t="shared" si="95"/>
        <v>234012350</v>
      </c>
      <c r="S333" s="197" t="s">
        <v>217</v>
      </c>
      <c r="T333" s="193">
        <v>0</v>
      </c>
      <c r="U333" s="198" t="str">
        <f t="shared" si="96"/>
        <v>SUBDIRECCION DE GESTION CONTRACTUAL</v>
      </c>
      <c r="V333" s="185" t="str">
        <f t="shared" si="97"/>
        <v>CO-DC</v>
      </c>
      <c r="W333" s="198" t="str">
        <f t="shared" si="98"/>
        <v>Distrito Capital de Bogotá</v>
      </c>
      <c r="X333" s="199" t="s">
        <v>103</v>
      </c>
      <c r="Y333" s="202">
        <v>2427400</v>
      </c>
      <c r="Z333" s="200" t="s">
        <v>339</v>
      </c>
    </row>
    <row r="334" spans="1:26" s="7" customFormat="1" ht="12.75" customHeight="1" x14ac:dyDescent="0.2">
      <c r="A334" s="184" t="s">
        <v>97</v>
      </c>
      <c r="B334" s="185">
        <v>69</v>
      </c>
      <c r="C334" s="186" t="s">
        <v>363</v>
      </c>
      <c r="D334" s="186" t="s">
        <v>98</v>
      </c>
      <c r="E334" s="187"/>
      <c r="F334" s="187">
        <f>1200000000-845000000</f>
        <v>355000000</v>
      </c>
      <c r="G334" s="187"/>
      <c r="H334" s="188" t="s">
        <v>710</v>
      </c>
      <c r="I334" s="189" t="s">
        <v>340</v>
      </c>
      <c r="J334" s="190">
        <v>2</v>
      </c>
      <c r="K334" s="191">
        <v>3</v>
      </c>
      <c r="L334" s="192">
        <v>9</v>
      </c>
      <c r="M334" s="185">
        <f t="shared" si="99"/>
        <v>1</v>
      </c>
      <c r="N334" s="193" t="s">
        <v>221</v>
      </c>
      <c r="O334" s="194" t="s">
        <v>903</v>
      </c>
      <c r="P334" s="195">
        <v>1</v>
      </c>
      <c r="Q334" s="196">
        <f t="shared" si="94"/>
        <v>355000000</v>
      </c>
      <c r="R334" s="196">
        <f t="shared" si="95"/>
        <v>355000000</v>
      </c>
      <c r="S334" s="197" t="s">
        <v>217</v>
      </c>
      <c r="T334" s="193">
        <v>0</v>
      </c>
      <c r="U334" s="198" t="str">
        <f t="shared" si="96"/>
        <v>SUBDIRECCION DE GESTION CONTRACTUAL</v>
      </c>
      <c r="V334" s="185" t="str">
        <f t="shared" si="97"/>
        <v>CO-DC</v>
      </c>
      <c r="W334" s="198" t="str">
        <f t="shared" si="98"/>
        <v>Distrito Capital de Bogotá</v>
      </c>
      <c r="X334" s="199" t="s">
        <v>103</v>
      </c>
      <c r="Y334" s="202">
        <v>2427400</v>
      </c>
      <c r="Z334" s="200" t="s">
        <v>339</v>
      </c>
    </row>
    <row r="335" spans="1:26" s="7" customFormat="1" ht="12.75" customHeight="1" x14ac:dyDescent="0.2">
      <c r="A335" s="184" t="s">
        <v>97</v>
      </c>
      <c r="B335" s="185">
        <v>70</v>
      </c>
      <c r="C335" s="186" t="s">
        <v>363</v>
      </c>
      <c r="D335" s="186" t="s">
        <v>98</v>
      </c>
      <c r="E335" s="187"/>
      <c r="F335" s="187">
        <f>300000000-300000000</f>
        <v>0</v>
      </c>
      <c r="G335" s="187"/>
      <c r="H335" s="188" t="s">
        <v>710</v>
      </c>
      <c r="I335" s="189" t="s">
        <v>340</v>
      </c>
      <c r="J335" s="206">
        <v>2</v>
      </c>
      <c r="K335" s="206">
        <v>3</v>
      </c>
      <c r="L335" s="206">
        <v>9</v>
      </c>
      <c r="M335" s="185">
        <f t="shared" si="99"/>
        <v>1</v>
      </c>
      <c r="N335" s="193" t="s">
        <v>221</v>
      </c>
      <c r="O335" s="194" t="s">
        <v>903</v>
      </c>
      <c r="P335" s="195">
        <v>1</v>
      </c>
      <c r="Q335" s="196">
        <f t="shared" si="94"/>
        <v>0</v>
      </c>
      <c r="R335" s="196">
        <f t="shared" si="95"/>
        <v>0</v>
      </c>
      <c r="S335" s="197" t="s">
        <v>217</v>
      </c>
      <c r="T335" s="193">
        <v>0</v>
      </c>
      <c r="U335" s="198" t="str">
        <f t="shared" si="96"/>
        <v>SUBDIRECCION DE GESTION CONTRACTUAL</v>
      </c>
      <c r="V335" s="185" t="str">
        <f t="shared" si="97"/>
        <v>CO-DC</v>
      </c>
      <c r="W335" s="198" t="str">
        <f t="shared" si="98"/>
        <v>Distrito Capital de Bogotá</v>
      </c>
      <c r="X335" s="199" t="s">
        <v>103</v>
      </c>
      <c r="Y335" s="202">
        <v>2427400</v>
      </c>
      <c r="Z335" s="200" t="s">
        <v>339</v>
      </c>
    </row>
    <row r="336" spans="1:26" s="7" customFormat="1" ht="12.75" customHeight="1" x14ac:dyDescent="0.2">
      <c r="A336" s="184" t="s">
        <v>97</v>
      </c>
      <c r="B336" s="185">
        <v>71</v>
      </c>
      <c r="C336" s="186" t="s">
        <v>363</v>
      </c>
      <c r="D336" s="186" t="s">
        <v>98</v>
      </c>
      <c r="E336" s="187"/>
      <c r="F336" s="187">
        <v>734787929</v>
      </c>
      <c r="G336" s="187"/>
      <c r="H336" s="188" t="s">
        <v>101</v>
      </c>
      <c r="I336" s="189" t="s">
        <v>551</v>
      </c>
      <c r="J336" s="190">
        <v>2</v>
      </c>
      <c r="K336" s="191">
        <v>3</v>
      </c>
      <c r="L336" s="192">
        <v>10</v>
      </c>
      <c r="M336" s="185">
        <f t="shared" si="99"/>
        <v>1</v>
      </c>
      <c r="N336" s="193" t="s">
        <v>36</v>
      </c>
      <c r="O336" s="194" t="s">
        <v>256</v>
      </c>
      <c r="P336" s="195">
        <v>1</v>
      </c>
      <c r="Q336" s="196">
        <f t="shared" si="94"/>
        <v>734787929</v>
      </c>
      <c r="R336" s="196">
        <f t="shared" si="95"/>
        <v>734787929</v>
      </c>
      <c r="S336" s="197" t="s">
        <v>217</v>
      </c>
      <c r="T336" s="193">
        <v>0</v>
      </c>
      <c r="U336" s="198" t="str">
        <f t="shared" si="96"/>
        <v>SUBDIRECCION DE GESTION CONTRACTUAL</v>
      </c>
      <c r="V336" s="185" t="str">
        <f t="shared" si="97"/>
        <v>CO-DC</v>
      </c>
      <c r="W336" s="198" t="str">
        <f t="shared" si="98"/>
        <v>Distrito Capital de Bogotá</v>
      </c>
      <c r="X336" s="199" t="s">
        <v>103</v>
      </c>
      <c r="Y336" s="202">
        <v>2427400</v>
      </c>
      <c r="Z336" s="200" t="s">
        <v>339</v>
      </c>
    </row>
    <row r="337" spans="1:27" s="7" customFormat="1" ht="12.75" customHeight="1" x14ac:dyDescent="0.25">
      <c r="A337" s="184" t="s">
        <v>97</v>
      </c>
      <c r="B337" s="185">
        <v>72</v>
      </c>
      <c r="C337" s="186" t="s">
        <v>363</v>
      </c>
      <c r="D337" s="186" t="s">
        <v>98</v>
      </c>
      <c r="E337" s="187"/>
      <c r="F337" s="187">
        <f>100000000+200000000</f>
        <v>300000000</v>
      </c>
      <c r="G337" s="187"/>
      <c r="H337" s="188" t="s">
        <v>79</v>
      </c>
      <c r="I337" s="189" t="s">
        <v>779</v>
      </c>
      <c r="J337" s="206">
        <v>7</v>
      </c>
      <c r="K337" s="206">
        <v>9</v>
      </c>
      <c r="L337" s="206">
        <v>3</v>
      </c>
      <c r="M337" s="185">
        <f t="shared" si="99"/>
        <v>1</v>
      </c>
      <c r="N337" s="195" t="s">
        <v>61</v>
      </c>
      <c r="O337" s="195" t="s">
        <v>902</v>
      </c>
      <c r="P337" s="195">
        <v>1</v>
      </c>
      <c r="Q337" s="196">
        <f t="shared" si="94"/>
        <v>300000000</v>
      </c>
      <c r="R337" s="196">
        <f t="shared" si="95"/>
        <v>300000000</v>
      </c>
      <c r="S337" s="197" t="s">
        <v>217</v>
      </c>
      <c r="T337" s="193">
        <v>0</v>
      </c>
      <c r="U337" s="198" t="str">
        <f t="shared" si="96"/>
        <v>SUBDIRECCION DE GESTION CONTRACTUAL</v>
      </c>
      <c r="V337" s="185" t="str">
        <f t="shared" si="97"/>
        <v>CO-DC</v>
      </c>
      <c r="W337" s="198" t="str">
        <f t="shared" si="98"/>
        <v>Distrito Capital de Bogotá</v>
      </c>
      <c r="X337" s="199" t="s">
        <v>883</v>
      </c>
      <c r="Y337" s="202">
        <v>2427400</v>
      </c>
      <c r="Z337" s="125" t="s">
        <v>885</v>
      </c>
    </row>
    <row r="338" spans="1:27" s="7" customFormat="1" ht="12.75" customHeight="1" x14ac:dyDescent="0.2">
      <c r="A338" s="184" t="s">
        <v>97</v>
      </c>
      <c r="B338" s="185">
        <v>73</v>
      </c>
      <c r="C338" s="186" t="s">
        <v>363</v>
      </c>
      <c r="D338" s="186" t="s">
        <v>98</v>
      </c>
      <c r="E338" s="187"/>
      <c r="F338" s="187">
        <f>110000000-110000000</f>
        <v>0</v>
      </c>
      <c r="G338" s="187"/>
      <c r="H338" s="188" t="s">
        <v>349</v>
      </c>
      <c r="I338" s="189" t="s">
        <v>364</v>
      </c>
      <c r="J338" s="206">
        <v>3</v>
      </c>
      <c r="K338" s="206">
        <v>3</v>
      </c>
      <c r="L338" s="206">
        <v>5</v>
      </c>
      <c r="M338" s="185">
        <f t="shared" si="99"/>
        <v>1</v>
      </c>
      <c r="N338" s="193" t="s">
        <v>43</v>
      </c>
      <c r="O338" s="194" t="s">
        <v>44</v>
      </c>
      <c r="P338" s="195">
        <v>1</v>
      </c>
      <c r="Q338" s="196">
        <f t="shared" si="94"/>
        <v>0</v>
      </c>
      <c r="R338" s="196">
        <f t="shared" si="95"/>
        <v>0</v>
      </c>
      <c r="S338" s="197" t="s">
        <v>217</v>
      </c>
      <c r="T338" s="193">
        <v>0</v>
      </c>
      <c r="U338" s="198" t="str">
        <f t="shared" si="96"/>
        <v>SUBDIRECCION DE GESTION CONTRACTUAL</v>
      </c>
      <c r="V338" s="185" t="str">
        <f t="shared" si="97"/>
        <v>CO-DC</v>
      </c>
      <c r="W338" s="198" t="str">
        <f t="shared" si="98"/>
        <v>Distrito Capital de Bogotá</v>
      </c>
      <c r="X338" s="199" t="s">
        <v>103</v>
      </c>
      <c r="Y338" s="202">
        <v>2427400</v>
      </c>
      <c r="Z338" s="200" t="s">
        <v>339</v>
      </c>
    </row>
    <row r="339" spans="1:27" s="7" customFormat="1" ht="12.75" customHeight="1" x14ac:dyDescent="0.2">
      <c r="A339" s="184" t="s">
        <v>97</v>
      </c>
      <c r="B339" s="185">
        <v>74</v>
      </c>
      <c r="C339" s="186" t="s">
        <v>363</v>
      </c>
      <c r="D339" s="186" t="s">
        <v>98</v>
      </c>
      <c r="E339" s="187"/>
      <c r="F339" s="187">
        <f>21740000000+20000000000+1145000000</f>
        <v>42885000000</v>
      </c>
      <c r="G339" s="187"/>
      <c r="H339" s="246" t="s">
        <v>847</v>
      </c>
      <c r="I339" s="205" t="s">
        <v>850</v>
      </c>
      <c r="J339" s="206">
        <v>4</v>
      </c>
      <c r="K339" s="206">
        <v>4</v>
      </c>
      <c r="L339" s="206">
        <v>8</v>
      </c>
      <c r="M339" s="185">
        <f t="shared" si="99"/>
        <v>1</v>
      </c>
      <c r="N339" s="193" t="s">
        <v>210</v>
      </c>
      <c r="O339" s="194" t="s">
        <v>264</v>
      </c>
      <c r="P339" s="195">
        <v>1</v>
      </c>
      <c r="Q339" s="196">
        <f t="shared" si="94"/>
        <v>42885000000</v>
      </c>
      <c r="R339" s="196">
        <f t="shared" si="95"/>
        <v>42885000000</v>
      </c>
      <c r="S339" s="197" t="s">
        <v>217</v>
      </c>
      <c r="T339" s="193">
        <v>0</v>
      </c>
      <c r="U339" s="198" t="str">
        <f t="shared" si="96"/>
        <v>SUBDIRECCION DE GESTION CONTRACTUAL</v>
      </c>
      <c r="V339" s="185" t="str">
        <f t="shared" si="97"/>
        <v>CO-DC</v>
      </c>
      <c r="W339" s="198" t="str">
        <f t="shared" si="98"/>
        <v>Distrito Capital de Bogotá</v>
      </c>
      <c r="X339" s="199" t="s">
        <v>103</v>
      </c>
      <c r="Y339" s="202">
        <v>2427400</v>
      </c>
      <c r="Z339" s="200" t="s">
        <v>339</v>
      </c>
    </row>
    <row r="340" spans="1:27" s="7" customFormat="1" ht="12.75" customHeight="1" x14ac:dyDescent="0.2">
      <c r="A340" s="184" t="s">
        <v>97</v>
      </c>
      <c r="B340" s="185">
        <v>75</v>
      </c>
      <c r="C340" s="186" t="s">
        <v>363</v>
      </c>
      <c r="D340" s="186" t="s">
        <v>98</v>
      </c>
      <c r="E340" s="187"/>
      <c r="F340" s="187">
        <f>1400000000-200000000</f>
        <v>1200000000</v>
      </c>
      <c r="G340" s="187"/>
      <c r="H340" s="188" t="s">
        <v>341</v>
      </c>
      <c r="I340" s="205" t="s">
        <v>890</v>
      </c>
      <c r="J340" s="206">
        <v>6</v>
      </c>
      <c r="K340" s="206">
        <v>6</v>
      </c>
      <c r="L340" s="206">
        <v>6</v>
      </c>
      <c r="M340" s="185">
        <f t="shared" si="99"/>
        <v>1</v>
      </c>
      <c r="N340" s="193" t="s">
        <v>43</v>
      </c>
      <c r="O340" s="194" t="s">
        <v>44</v>
      </c>
      <c r="P340" s="195">
        <v>1</v>
      </c>
      <c r="Q340" s="196">
        <f t="shared" si="94"/>
        <v>1200000000</v>
      </c>
      <c r="R340" s="196">
        <f t="shared" si="95"/>
        <v>1200000000</v>
      </c>
      <c r="S340" s="197" t="s">
        <v>217</v>
      </c>
      <c r="T340" s="193">
        <v>0</v>
      </c>
      <c r="U340" s="198" t="str">
        <f t="shared" si="96"/>
        <v>SUBDIRECCION DE GESTION CONTRACTUAL</v>
      </c>
      <c r="V340" s="185" t="str">
        <f t="shared" si="97"/>
        <v>CO-DC</v>
      </c>
      <c r="W340" s="198" t="str">
        <f t="shared" si="98"/>
        <v>Distrito Capital de Bogotá</v>
      </c>
      <c r="X340" s="199" t="s">
        <v>103</v>
      </c>
      <c r="Y340" s="202">
        <v>2427400</v>
      </c>
      <c r="Z340" s="200" t="s">
        <v>339</v>
      </c>
    </row>
    <row r="341" spans="1:27" s="7" customFormat="1" ht="12.75" customHeight="1" x14ac:dyDescent="0.2">
      <c r="A341" s="184" t="s">
        <v>97</v>
      </c>
      <c r="B341" s="185">
        <v>76</v>
      </c>
      <c r="C341" s="186" t="s">
        <v>363</v>
      </c>
      <c r="D341" s="186" t="s">
        <v>98</v>
      </c>
      <c r="E341" s="187"/>
      <c r="F341" s="187">
        <v>1800000000</v>
      </c>
      <c r="G341" s="187"/>
      <c r="H341" s="202" t="s">
        <v>924</v>
      </c>
      <c r="I341" s="189" t="s">
        <v>891</v>
      </c>
      <c r="J341" s="206">
        <v>6</v>
      </c>
      <c r="K341" s="206">
        <v>6</v>
      </c>
      <c r="L341" s="206">
        <v>6</v>
      </c>
      <c r="M341" s="185">
        <v>1</v>
      </c>
      <c r="N341" s="193" t="s">
        <v>210</v>
      </c>
      <c r="O341" s="194" t="s">
        <v>264</v>
      </c>
      <c r="P341" s="195">
        <v>1</v>
      </c>
      <c r="Q341" s="196">
        <f t="shared" si="94"/>
        <v>1800000000</v>
      </c>
      <c r="R341" s="196">
        <f t="shared" si="95"/>
        <v>1800000000</v>
      </c>
      <c r="S341" s="197" t="s">
        <v>217</v>
      </c>
      <c r="T341" s="193">
        <v>0</v>
      </c>
      <c r="U341" s="198" t="str">
        <f t="shared" si="96"/>
        <v>SUBDIRECCION DE GESTION CONTRACTUAL</v>
      </c>
      <c r="V341" s="185" t="str">
        <f t="shared" si="97"/>
        <v>CO-DC</v>
      </c>
      <c r="W341" s="198" t="str">
        <f t="shared" si="98"/>
        <v>Distrito Capital de Bogotá</v>
      </c>
      <c r="X341" s="199" t="s">
        <v>103</v>
      </c>
      <c r="Y341" s="202">
        <v>2427400</v>
      </c>
      <c r="Z341" s="200" t="s">
        <v>339</v>
      </c>
    </row>
    <row r="342" spans="1:27" s="7" customFormat="1" ht="12.75" customHeight="1" x14ac:dyDescent="0.2">
      <c r="A342" s="184" t="s">
        <v>97</v>
      </c>
      <c r="B342" s="185">
        <v>77</v>
      </c>
      <c r="C342" s="186" t="s">
        <v>363</v>
      </c>
      <c r="D342" s="186" t="s">
        <v>98</v>
      </c>
      <c r="E342" s="187"/>
      <c r="F342" s="187">
        <v>750000000</v>
      </c>
      <c r="G342" s="187"/>
      <c r="H342" s="188" t="s">
        <v>828</v>
      </c>
      <c r="I342" s="189" t="s">
        <v>892</v>
      </c>
      <c r="J342" s="206">
        <v>6</v>
      </c>
      <c r="K342" s="206">
        <v>6</v>
      </c>
      <c r="L342" s="206">
        <v>6</v>
      </c>
      <c r="M342" s="185">
        <f>IF(ISBLANK(J342),"",1)</f>
        <v>1</v>
      </c>
      <c r="N342" s="193" t="s">
        <v>36</v>
      </c>
      <c r="O342" s="194" t="s">
        <v>256</v>
      </c>
      <c r="P342" s="195">
        <v>1</v>
      </c>
      <c r="Q342" s="196">
        <f t="shared" si="94"/>
        <v>750000000</v>
      </c>
      <c r="R342" s="196">
        <f t="shared" si="95"/>
        <v>750000000</v>
      </c>
      <c r="S342" s="197" t="s">
        <v>217</v>
      </c>
      <c r="T342" s="193">
        <v>0</v>
      </c>
      <c r="U342" s="198" t="str">
        <f t="shared" si="96"/>
        <v>SUBDIRECCION DE GESTION CONTRACTUAL</v>
      </c>
      <c r="V342" s="185" t="str">
        <f t="shared" si="97"/>
        <v>CO-DC</v>
      </c>
      <c r="W342" s="198" t="str">
        <f t="shared" si="98"/>
        <v>Distrito Capital de Bogotá</v>
      </c>
      <c r="X342" s="199" t="s">
        <v>103</v>
      </c>
      <c r="Y342" s="202">
        <v>2427400</v>
      </c>
      <c r="Z342" s="200" t="s">
        <v>339</v>
      </c>
    </row>
    <row r="343" spans="1:27" s="7" customFormat="1" ht="12.75" customHeight="1" x14ac:dyDescent="0.2">
      <c r="A343" s="184" t="s">
        <v>97</v>
      </c>
      <c r="B343" s="185">
        <v>78</v>
      </c>
      <c r="C343" s="186" t="s">
        <v>363</v>
      </c>
      <c r="D343" s="186" t="s">
        <v>98</v>
      </c>
      <c r="E343" s="187"/>
      <c r="F343" s="187">
        <v>150000000</v>
      </c>
      <c r="G343" s="187"/>
      <c r="H343" s="188" t="s">
        <v>565</v>
      </c>
      <c r="I343" s="189" t="s">
        <v>344</v>
      </c>
      <c r="J343" s="190">
        <v>8</v>
      </c>
      <c r="K343" s="191">
        <v>8</v>
      </c>
      <c r="L343" s="192">
        <v>4</v>
      </c>
      <c r="M343" s="185">
        <v>1</v>
      </c>
      <c r="N343" s="193" t="s">
        <v>210</v>
      </c>
      <c r="O343" s="194" t="s">
        <v>264</v>
      </c>
      <c r="P343" s="195">
        <v>1</v>
      </c>
      <c r="Q343" s="196">
        <f t="shared" si="94"/>
        <v>150000000</v>
      </c>
      <c r="R343" s="196">
        <f t="shared" si="95"/>
        <v>150000000</v>
      </c>
      <c r="S343" s="197" t="s">
        <v>217</v>
      </c>
      <c r="T343" s="193">
        <v>0</v>
      </c>
      <c r="U343" s="198" t="str">
        <f t="shared" si="96"/>
        <v>SUBDIRECCION DE GESTION CONTRACTUAL</v>
      </c>
      <c r="V343" s="185" t="str">
        <f t="shared" si="97"/>
        <v>CO-DC</v>
      </c>
      <c r="W343" s="198" t="str">
        <f t="shared" si="98"/>
        <v>Distrito Capital de Bogotá</v>
      </c>
      <c r="X343" s="199" t="s">
        <v>299</v>
      </c>
      <c r="Y343" s="185">
        <v>2427400</v>
      </c>
      <c r="Z343" s="200" t="s">
        <v>92</v>
      </c>
    </row>
    <row r="344" spans="1:27" s="7" customFormat="1" ht="12.75" customHeight="1" x14ac:dyDescent="0.2">
      <c r="A344" s="184" t="s">
        <v>97</v>
      </c>
      <c r="B344" s="185">
        <v>79</v>
      </c>
      <c r="C344" s="186" t="s">
        <v>365</v>
      </c>
      <c r="D344" s="186" t="s">
        <v>102</v>
      </c>
      <c r="E344" s="187"/>
      <c r="F344" s="187">
        <f>4000000000-900000000</f>
        <v>3100000000</v>
      </c>
      <c r="G344" s="187"/>
      <c r="H344" s="202" t="s">
        <v>912</v>
      </c>
      <c r="I344" s="189" t="s">
        <v>889</v>
      </c>
      <c r="J344" s="206">
        <v>6</v>
      </c>
      <c r="K344" s="206">
        <v>6</v>
      </c>
      <c r="L344" s="206">
        <v>6</v>
      </c>
      <c r="M344" s="185">
        <f>IF(ISBLANK(J344),"",1)</f>
        <v>1</v>
      </c>
      <c r="N344" s="193" t="s">
        <v>36</v>
      </c>
      <c r="O344" s="194" t="s">
        <v>256</v>
      </c>
      <c r="P344" s="195">
        <v>1</v>
      </c>
      <c r="Q344" s="196">
        <f t="shared" si="94"/>
        <v>3100000000</v>
      </c>
      <c r="R344" s="196">
        <f t="shared" si="95"/>
        <v>3100000000</v>
      </c>
      <c r="S344" s="197" t="s">
        <v>217</v>
      </c>
      <c r="T344" s="193">
        <v>0</v>
      </c>
      <c r="U344" s="198" t="str">
        <f t="shared" si="96"/>
        <v>SUBDIRECCION DE GESTION CONTRACTUAL</v>
      </c>
      <c r="V344" s="185" t="str">
        <f t="shared" si="97"/>
        <v>CO-DC</v>
      </c>
      <c r="W344" s="198" t="str">
        <f t="shared" si="98"/>
        <v>Distrito Capital de Bogotá</v>
      </c>
      <c r="X344" s="199" t="s">
        <v>103</v>
      </c>
      <c r="Y344" s="202">
        <v>2427400</v>
      </c>
      <c r="Z344" s="200" t="s">
        <v>339</v>
      </c>
    </row>
    <row r="345" spans="1:27" s="7" customFormat="1" ht="12.75" customHeight="1" x14ac:dyDescent="0.2">
      <c r="A345" s="184" t="s">
        <v>97</v>
      </c>
      <c r="B345" s="185">
        <v>80</v>
      </c>
      <c r="C345" s="186" t="s">
        <v>365</v>
      </c>
      <c r="D345" s="186" t="s">
        <v>102</v>
      </c>
      <c r="E345" s="187"/>
      <c r="F345" s="187">
        <f>3000000000-3000000000</f>
        <v>0</v>
      </c>
      <c r="G345" s="187"/>
      <c r="H345" s="188" t="s">
        <v>366</v>
      </c>
      <c r="I345" s="189" t="s">
        <v>367</v>
      </c>
      <c r="J345" s="206">
        <v>6</v>
      </c>
      <c r="K345" s="206">
        <v>7</v>
      </c>
      <c r="L345" s="206">
        <v>5</v>
      </c>
      <c r="M345" s="185">
        <f>IF(ISBLANK(J345),"",1)</f>
        <v>1</v>
      </c>
      <c r="N345" s="193" t="s">
        <v>36</v>
      </c>
      <c r="O345" s="194" t="s">
        <v>256</v>
      </c>
      <c r="P345" s="195">
        <v>1</v>
      </c>
      <c r="Q345" s="196">
        <f t="shared" si="94"/>
        <v>0</v>
      </c>
      <c r="R345" s="196">
        <f t="shared" si="95"/>
        <v>0</v>
      </c>
      <c r="S345" s="197" t="s">
        <v>217</v>
      </c>
      <c r="T345" s="193">
        <v>0</v>
      </c>
      <c r="U345" s="198" t="str">
        <f t="shared" si="96"/>
        <v>SUBDIRECCION DE GESTION CONTRACTUAL</v>
      </c>
      <c r="V345" s="185" t="str">
        <f t="shared" si="97"/>
        <v>CO-DC</v>
      </c>
      <c r="W345" s="198" t="str">
        <f t="shared" si="98"/>
        <v>Distrito Capital de Bogotá</v>
      </c>
      <c r="X345" s="199" t="s">
        <v>103</v>
      </c>
      <c r="Y345" s="202">
        <v>2427400</v>
      </c>
      <c r="Z345" s="200" t="s">
        <v>339</v>
      </c>
    </row>
    <row r="346" spans="1:27" s="7" customFormat="1" ht="12.75" customHeight="1" x14ac:dyDescent="0.2">
      <c r="A346" s="184" t="s">
        <v>97</v>
      </c>
      <c r="B346" s="185">
        <v>81</v>
      </c>
      <c r="C346" s="186" t="s">
        <v>365</v>
      </c>
      <c r="D346" s="186" t="s">
        <v>102</v>
      </c>
      <c r="E346" s="187"/>
      <c r="F346" s="187">
        <v>900000000</v>
      </c>
      <c r="G346" s="187"/>
      <c r="H346" s="188" t="s">
        <v>925</v>
      </c>
      <c r="I346" s="189" t="s">
        <v>893</v>
      </c>
      <c r="J346" s="206">
        <v>6</v>
      </c>
      <c r="K346" s="206">
        <v>6</v>
      </c>
      <c r="L346" s="206">
        <v>6</v>
      </c>
      <c r="M346" s="185">
        <f>IF(ISBLANK(J346),"",1)</f>
        <v>1</v>
      </c>
      <c r="N346" s="193" t="s">
        <v>36</v>
      </c>
      <c r="O346" s="194" t="s">
        <v>256</v>
      </c>
      <c r="P346" s="195">
        <v>1</v>
      </c>
      <c r="Q346" s="196">
        <f t="shared" si="94"/>
        <v>900000000</v>
      </c>
      <c r="R346" s="196">
        <f t="shared" si="95"/>
        <v>900000000</v>
      </c>
      <c r="S346" s="197" t="s">
        <v>217</v>
      </c>
      <c r="T346" s="193">
        <v>0</v>
      </c>
      <c r="U346" s="198" t="str">
        <f t="shared" si="96"/>
        <v>SUBDIRECCION DE GESTION CONTRACTUAL</v>
      </c>
      <c r="V346" s="185" t="str">
        <f t="shared" si="97"/>
        <v>CO-DC</v>
      </c>
      <c r="W346" s="198" t="str">
        <f t="shared" si="98"/>
        <v>Distrito Capital de Bogotá</v>
      </c>
      <c r="X346" s="199" t="s">
        <v>103</v>
      </c>
      <c r="Y346" s="202">
        <v>2427400</v>
      </c>
      <c r="Z346" s="200" t="s">
        <v>339</v>
      </c>
    </row>
    <row r="347" spans="1:27" s="7" customFormat="1" ht="12.75" customHeight="1" x14ac:dyDescent="0.2">
      <c r="A347" s="184" t="s">
        <v>97</v>
      </c>
      <c r="B347" s="185">
        <v>82</v>
      </c>
      <c r="C347" s="186" t="s">
        <v>365</v>
      </c>
      <c r="D347" s="186" t="s">
        <v>102</v>
      </c>
      <c r="E347" s="187"/>
      <c r="F347" s="187">
        <v>3180800000</v>
      </c>
      <c r="G347" s="187"/>
      <c r="H347" s="188" t="s">
        <v>368</v>
      </c>
      <c r="I347" s="205" t="s">
        <v>369</v>
      </c>
      <c r="J347" s="206">
        <v>3</v>
      </c>
      <c r="K347" s="206">
        <v>4</v>
      </c>
      <c r="L347" s="206">
        <v>8</v>
      </c>
      <c r="M347" s="185">
        <f>IF(ISBLANK(J347),"",1)</f>
        <v>1</v>
      </c>
      <c r="N347" s="193" t="s">
        <v>36</v>
      </c>
      <c r="O347" s="194" t="s">
        <v>256</v>
      </c>
      <c r="P347" s="195">
        <v>1</v>
      </c>
      <c r="Q347" s="196">
        <f t="shared" si="94"/>
        <v>3180800000</v>
      </c>
      <c r="R347" s="196">
        <f t="shared" si="95"/>
        <v>3180800000</v>
      </c>
      <c r="S347" s="197" t="s">
        <v>217</v>
      </c>
      <c r="T347" s="193">
        <v>0</v>
      </c>
      <c r="U347" s="198" t="str">
        <f t="shared" si="96"/>
        <v>SUBDIRECCION DE GESTION CONTRACTUAL</v>
      </c>
      <c r="V347" s="185" t="str">
        <f t="shared" si="97"/>
        <v>CO-DC</v>
      </c>
      <c r="W347" s="198" t="str">
        <f t="shared" si="98"/>
        <v>Distrito Capital de Bogotá</v>
      </c>
      <c r="X347" s="199" t="s">
        <v>103</v>
      </c>
      <c r="Y347" s="202">
        <v>2427400</v>
      </c>
      <c r="Z347" s="200" t="s">
        <v>339</v>
      </c>
    </row>
    <row r="348" spans="1:27" s="7" customFormat="1" ht="12.75" customHeight="1" x14ac:dyDescent="0.2">
      <c r="A348" s="184" t="s">
        <v>97</v>
      </c>
      <c r="B348" s="185">
        <v>83</v>
      </c>
      <c r="C348" s="186" t="s">
        <v>365</v>
      </c>
      <c r="D348" s="186" t="s">
        <v>102</v>
      </c>
      <c r="E348" s="187"/>
      <c r="F348" s="187">
        <f>3000000000-430000000</f>
        <v>2570000000</v>
      </c>
      <c r="G348" s="187"/>
      <c r="H348" s="188" t="s">
        <v>710</v>
      </c>
      <c r="I348" s="189" t="s">
        <v>340</v>
      </c>
      <c r="J348" s="206">
        <v>2</v>
      </c>
      <c r="K348" s="206">
        <v>3</v>
      </c>
      <c r="L348" s="206">
        <v>9</v>
      </c>
      <c r="M348" s="185">
        <f>IF(ISBLANK(J348),"",1)</f>
        <v>1</v>
      </c>
      <c r="N348" s="193" t="s">
        <v>221</v>
      </c>
      <c r="O348" s="194" t="s">
        <v>903</v>
      </c>
      <c r="P348" s="195">
        <v>1</v>
      </c>
      <c r="Q348" s="196">
        <f t="shared" si="94"/>
        <v>2570000000</v>
      </c>
      <c r="R348" s="196">
        <f t="shared" si="95"/>
        <v>2570000000</v>
      </c>
      <c r="S348" s="197" t="s">
        <v>217</v>
      </c>
      <c r="T348" s="193">
        <v>0</v>
      </c>
      <c r="U348" s="198" t="str">
        <f t="shared" si="96"/>
        <v>SUBDIRECCION DE GESTION CONTRACTUAL</v>
      </c>
      <c r="V348" s="185" t="str">
        <f t="shared" si="97"/>
        <v>CO-DC</v>
      </c>
      <c r="W348" s="198" t="str">
        <f t="shared" si="98"/>
        <v>Distrito Capital de Bogotá</v>
      </c>
      <c r="X348" s="199" t="s">
        <v>103</v>
      </c>
      <c r="Y348" s="202">
        <v>2427400</v>
      </c>
      <c r="Z348" s="200" t="s">
        <v>339</v>
      </c>
    </row>
    <row r="349" spans="1:27" s="7" customFormat="1" ht="13.5" customHeight="1" x14ac:dyDescent="0.2">
      <c r="A349" s="184" t="s">
        <v>97</v>
      </c>
      <c r="B349" s="185">
        <v>84</v>
      </c>
      <c r="C349" s="186" t="s">
        <v>365</v>
      </c>
      <c r="D349" s="186" t="s">
        <v>102</v>
      </c>
      <c r="E349" s="187"/>
      <c r="F349" s="187">
        <f>9000000000-3000000000-1000000000+900000000+60000000</f>
        <v>5960000000</v>
      </c>
      <c r="G349" s="187"/>
      <c r="H349" s="188" t="s">
        <v>990</v>
      </c>
      <c r="I349" s="189" t="s">
        <v>991</v>
      </c>
      <c r="J349" s="206">
        <v>7</v>
      </c>
      <c r="K349" s="206">
        <v>7</v>
      </c>
      <c r="L349" s="206">
        <v>5</v>
      </c>
      <c r="M349" s="185">
        <v>1</v>
      </c>
      <c r="N349" s="193" t="s">
        <v>210</v>
      </c>
      <c r="O349" s="194" t="s">
        <v>264</v>
      </c>
      <c r="P349" s="195">
        <v>1</v>
      </c>
      <c r="Q349" s="196">
        <f t="shared" si="94"/>
        <v>5960000000</v>
      </c>
      <c r="R349" s="196">
        <f t="shared" si="95"/>
        <v>5960000000</v>
      </c>
      <c r="S349" s="197" t="s">
        <v>217</v>
      </c>
      <c r="T349" s="193">
        <v>0</v>
      </c>
      <c r="U349" s="198" t="str">
        <f t="shared" si="96"/>
        <v>SUBDIRECCION DE GESTION CONTRACTUAL</v>
      </c>
      <c r="V349" s="185" t="str">
        <f t="shared" si="97"/>
        <v>CO-DC</v>
      </c>
      <c r="W349" s="198" t="str">
        <f t="shared" si="98"/>
        <v>Distrito Capital de Bogotá</v>
      </c>
      <c r="X349" s="199" t="s">
        <v>103</v>
      </c>
      <c r="Y349" s="202">
        <v>2427400</v>
      </c>
      <c r="Z349" s="200" t="s">
        <v>339</v>
      </c>
    </row>
    <row r="350" spans="1:27" s="136" customFormat="1" ht="13.5" customHeight="1" x14ac:dyDescent="0.2">
      <c r="A350" s="184" t="s">
        <v>97</v>
      </c>
      <c r="B350" s="185">
        <v>85</v>
      </c>
      <c r="C350" s="186" t="s">
        <v>365</v>
      </c>
      <c r="D350" s="186" t="s">
        <v>102</v>
      </c>
      <c r="E350" s="187"/>
      <c r="F350" s="187">
        <f>22070000000+5420107990</f>
        <v>27490107990</v>
      </c>
      <c r="G350" s="187"/>
      <c r="H350" s="246" t="s">
        <v>847</v>
      </c>
      <c r="I350" s="189" t="s">
        <v>851</v>
      </c>
      <c r="J350" s="206">
        <v>4</v>
      </c>
      <c r="K350" s="206">
        <v>4</v>
      </c>
      <c r="L350" s="206">
        <v>8</v>
      </c>
      <c r="M350" s="185">
        <f>IF(ISBLANK(J350),"",1)</f>
        <v>1</v>
      </c>
      <c r="N350" s="193" t="s">
        <v>210</v>
      </c>
      <c r="O350" s="194" t="s">
        <v>264</v>
      </c>
      <c r="P350" s="195">
        <v>1</v>
      </c>
      <c r="Q350" s="196">
        <f t="shared" si="94"/>
        <v>27490107990</v>
      </c>
      <c r="R350" s="196">
        <f t="shared" si="95"/>
        <v>27490107990</v>
      </c>
      <c r="S350" s="197" t="s">
        <v>217</v>
      </c>
      <c r="T350" s="193">
        <v>0</v>
      </c>
      <c r="U350" s="198" t="str">
        <f t="shared" si="96"/>
        <v>SUBDIRECCION DE GESTION CONTRACTUAL</v>
      </c>
      <c r="V350" s="185" t="str">
        <f t="shared" si="97"/>
        <v>CO-DC</v>
      </c>
      <c r="W350" s="198" t="str">
        <f t="shared" si="98"/>
        <v>Distrito Capital de Bogotá</v>
      </c>
      <c r="X350" s="199" t="s">
        <v>103</v>
      </c>
      <c r="Y350" s="202">
        <v>2427400</v>
      </c>
      <c r="Z350" s="200" t="s">
        <v>339</v>
      </c>
      <c r="AA350" s="138"/>
    </row>
    <row r="351" spans="1:27" s="136" customFormat="1" ht="12.75" customHeight="1" x14ac:dyDescent="0.2">
      <c r="A351" s="184" t="s">
        <v>97</v>
      </c>
      <c r="B351" s="185">
        <v>86</v>
      </c>
      <c r="C351" s="186" t="s">
        <v>365</v>
      </c>
      <c r="D351" s="186" t="s">
        <v>102</v>
      </c>
      <c r="E351" s="187"/>
      <c r="F351" s="187">
        <f>4000000000-1990107990-2009892010</f>
        <v>0</v>
      </c>
      <c r="G351" s="187"/>
      <c r="H351" s="188" t="s">
        <v>370</v>
      </c>
      <c r="I351" s="189" t="s">
        <v>371</v>
      </c>
      <c r="J351" s="206">
        <v>3</v>
      </c>
      <c r="K351" s="206">
        <v>4</v>
      </c>
      <c r="L351" s="206">
        <v>8</v>
      </c>
      <c r="M351" s="185">
        <f>IF(ISBLANK(J351),"",1)</f>
        <v>1</v>
      </c>
      <c r="N351" s="193" t="s">
        <v>36</v>
      </c>
      <c r="O351" s="194" t="s">
        <v>256</v>
      </c>
      <c r="P351" s="195">
        <v>1</v>
      </c>
      <c r="Q351" s="196">
        <f t="shared" si="94"/>
        <v>0</v>
      </c>
      <c r="R351" s="196">
        <f t="shared" si="95"/>
        <v>0</v>
      </c>
      <c r="S351" s="197" t="s">
        <v>217</v>
      </c>
      <c r="T351" s="193">
        <v>0</v>
      </c>
      <c r="U351" s="198" t="str">
        <f t="shared" si="96"/>
        <v>SUBDIRECCION DE GESTION CONTRACTUAL</v>
      </c>
      <c r="V351" s="185" t="str">
        <f t="shared" si="97"/>
        <v>CO-DC</v>
      </c>
      <c r="W351" s="198" t="str">
        <f t="shared" si="98"/>
        <v>Distrito Capital de Bogotá</v>
      </c>
      <c r="X351" s="199" t="s">
        <v>103</v>
      </c>
      <c r="Y351" s="202">
        <v>2427400</v>
      </c>
      <c r="Z351" s="200" t="s">
        <v>339</v>
      </c>
      <c r="AA351" s="138"/>
    </row>
    <row r="352" spans="1:27" s="136" customFormat="1" ht="12.75" customHeight="1" x14ac:dyDescent="0.2">
      <c r="A352" s="184" t="s">
        <v>97</v>
      </c>
      <c r="B352" s="185">
        <v>87</v>
      </c>
      <c r="C352" s="186" t="s">
        <v>365</v>
      </c>
      <c r="D352" s="186" t="s">
        <v>102</v>
      </c>
      <c r="E352" s="187"/>
      <c r="F352" s="187">
        <v>849200000</v>
      </c>
      <c r="G352" s="187"/>
      <c r="H352" s="202" t="s">
        <v>924</v>
      </c>
      <c r="I352" s="189" t="s">
        <v>891</v>
      </c>
      <c r="J352" s="206">
        <v>6</v>
      </c>
      <c r="K352" s="206">
        <v>6</v>
      </c>
      <c r="L352" s="206">
        <v>6</v>
      </c>
      <c r="M352" s="185">
        <v>1</v>
      </c>
      <c r="N352" s="193" t="s">
        <v>210</v>
      </c>
      <c r="O352" s="194" t="s">
        <v>264</v>
      </c>
      <c r="P352" s="195">
        <v>1</v>
      </c>
      <c r="Q352" s="196">
        <f t="shared" si="94"/>
        <v>849200000</v>
      </c>
      <c r="R352" s="196">
        <f t="shared" si="95"/>
        <v>849200000</v>
      </c>
      <c r="S352" s="197" t="s">
        <v>217</v>
      </c>
      <c r="T352" s="193">
        <v>0</v>
      </c>
      <c r="U352" s="198" t="str">
        <f t="shared" si="96"/>
        <v>SUBDIRECCION DE GESTION CONTRACTUAL</v>
      </c>
      <c r="V352" s="185" t="str">
        <f t="shared" si="97"/>
        <v>CO-DC</v>
      </c>
      <c r="W352" s="198" t="str">
        <f t="shared" si="98"/>
        <v>Distrito Capital de Bogotá</v>
      </c>
      <c r="X352" s="199" t="s">
        <v>103</v>
      </c>
      <c r="Y352" s="202">
        <v>2427400</v>
      </c>
      <c r="Z352" s="200" t="s">
        <v>339</v>
      </c>
      <c r="AA352" s="138"/>
    </row>
    <row r="353" spans="1:26" s="7" customFormat="1" ht="12.75" customHeight="1" x14ac:dyDescent="0.2">
      <c r="A353" s="184" t="s">
        <v>97</v>
      </c>
      <c r="B353" s="185">
        <v>88</v>
      </c>
      <c r="C353" s="186" t="s">
        <v>372</v>
      </c>
      <c r="D353" s="270" t="s">
        <v>780</v>
      </c>
      <c r="E353" s="187"/>
      <c r="F353" s="187">
        <v>950000000</v>
      </c>
      <c r="G353" s="187"/>
      <c r="H353" s="188" t="s">
        <v>99</v>
      </c>
      <c r="I353" s="189" t="s">
        <v>348</v>
      </c>
      <c r="J353" s="206">
        <v>6</v>
      </c>
      <c r="K353" s="206">
        <v>6</v>
      </c>
      <c r="L353" s="206">
        <v>6</v>
      </c>
      <c r="M353" s="185">
        <f>IF(ISBLANK(J353),"",1)</f>
        <v>1</v>
      </c>
      <c r="N353" s="193" t="s">
        <v>36</v>
      </c>
      <c r="O353" s="194" t="s">
        <v>256</v>
      </c>
      <c r="P353" s="195">
        <v>1</v>
      </c>
      <c r="Q353" s="196">
        <f t="shared" si="94"/>
        <v>950000000</v>
      </c>
      <c r="R353" s="196">
        <f t="shared" si="95"/>
        <v>950000000</v>
      </c>
      <c r="S353" s="197" t="s">
        <v>217</v>
      </c>
      <c r="T353" s="193">
        <v>0</v>
      </c>
      <c r="U353" s="198" t="str">
        <f t="shared" si="96"/>
        <v>SUBDIRECCION DE GESTION CONTRACTUAL</v>
      </c>
      <c r="V353" s="185" t="str">
        <f t="shared" si="97"/>
        <v>CO-DC</v>
      </c>
      <c r="W353" s="198" t="str">
        <f t="shared" si="98"/>
        <v>Distrito Capital de Bogotá</v>
      </c>
      <c r="X353" s="199" t="s">
        <v>103</v>
      </c>
      <c r="Y353" s="202">
        <v>2427400</v>
      </c>
      <c r="Z353" s="200" t="s">
        <v>339</v>
      </c>
    </row>
    <row r="354" spans="1:26" s="7" customFormat="1" ht="12.75" customHeight="1" x14ac:dyDescent="0.2">
      <c r="A354" s="184" t="s">
        <v>97</v>
      </c>
      <c r="B354" s="185">
        <v>89</v>
      </c>
      <c r="C354" s="186" t="s">
        <v>372</v>
      </c>
      <c r="D354" s="270" t="s">
        <v>780</v>
      </c>
      <c r="E354" s="187"/>
      <c r="F354" s="187">
        <v>440000000</v>
      </c>
      <c r="G354" s="187"/>
      <c r="H354" s="202" t="s">
        <v>912</v>
      </c>
      <c r="I354" s="189" t="s">
        <v>888</v>
      </c>
      <c r="J354" s="206">
        <v>6</v>
      </c>
      <c r="K354" s="206">
        <v>6</v>
      </c>
      <c r="L354" s="206">
        <v>6</v>
      </c>
      <c r="M354" s="185">
        <f>IF(ISBLANK(J354),"",1)</f>
        <v>1</v>
      </c>
      <c r="N354" s="193" t="s">
        <v>36</v>
      </c>
      <c r="O354" s="194" t="s">
        <v>256</v>
      </c>
      <c r="P354" s="195">
        <v>1</v>
      </c>
      <c r="Q354" s="196">
        <f t="shared" si="94"/>
        <v>440000000</v>
      </c>
      <c r="R354" s="196">
        <f t="shared" si="95"/>
        <v>440000000</v>
      </c>
      <c r="S354" s="197" t="s">
        <v>217</v>
      </c>
      <c r="T354" s="193">
        <v>0</v>
      </c>
      <c r="U354" s="198" t="str">
        <f t="shared" si="96"/>
        <v>SUBDIRECCION DE GESTION CONTRACTUAL</v>
      </c>
      <c r="V354" s="185" t="str">
        <f t="shared" si="97"/>
        <v>CO-DC</v>
      </c>
      <c r="W354" s="198" t="str">
        <f t="shared" si="98"/>
        <v>Distrito Capital de Bogotá</v>
      </c>
      <c r="X354" s="199" t="s">
        <v>103</v>
      </c>
      <c r="Y354" s="202">
        <v>2427400</v>
      </c>
      <c r="Z354" s="200" t="s">
        <v>339</v>
      </c>
    </row>
    <row r="355" spans="1:26" s="7" customFormat="1" ht="12.75" customHeight="1" x14ac:dyDescent="0.2">
      <c r="A355" s="184" t="s">
        <v>97</v>
      </c>
      <c r="B355" s="185">
        <v>90</v>
      </c>
      <c r="C355" s="186" t="s">
        <v>372</v>
      </c>
      <c r="D355" s="270" t="s">
        <v>780</v>
      </c>
      <c r="E355" s="187"/>
      <c r="F355" s="187">
        <v>610000000</v>
      </c>
      <c r="G355" s="187"/>
      <c r="H355" s="246" t="s">
        <v>822</v>
      </c>
      <c r="I355" s="189" t="s">
        <v>823</v>
      </c>
      <c r="J355" s="206">
        <v>5</v>
      </c>
      <c r="K355" s="206">
        <v>5</v>
      </c>
      <c r="L355" s="206">
        <v>7</v>
      </c>
      <c r="M355" s="185">
        <v>1</v>
      </c>
      <c r="N355" s="193" t="s">
        <v>210</v>
      </c>
      <c r="O355" s="194" t="s">
        <v>264</v>
      </c>
      <c r="P355" s="195">
        <v>1</v>
      </c>
      <c r="Q355" s="196">
        <f t="shared" si="94"/>
        <v>610000000</v>
      </c>
      <c r="R355" s="196">
        <f t="shared" si="95"/>
        <v>610000000</v>
      </c>
      <c r="S355" s="197" t="s">
        <v>217</v>
      </c>
      <c r="T355" s="193">
        <v>0</v>
      </c>
      <c r="U355" s="198" t="str">
        <f t="shared" si="96"/>
        <v>SUBDIRECCION DE GESTION CONTRACTUAL</v>
      </c>
      <c r="V355" s="185" t="str">
        <f t="shared" si="97"/>
        <v>CO-DC</v>
      </c>
      <c r="W355" s="198" t="str">
        <f t="shared" si="98"/>
        <v>Distrito Capital de Bogotá</v>
      </c>
      <c r="X355" s="199" t="s">
        <v>103</v>
      </c>
      <c r="Y355" s="202">
        <v>2427400</v>
      </c>
      <c r="Z355" s="200" t="s">
        <v>339</v>
      </c>
    </row>
    <row r="356" spans="1:26" s="7" customFormat="1" ht="12.75" customHeight="1" x14ac:dyDescent="0.2">
      <c r="A356" s="184" t="s">
        <v>97</v>
      </c>
      <c r="B356" s="185">
        <v>91</v>
      </c>
      <c r="C356" s="186" t="s">
        <v>355</v>
      </c>
      <c r="D356" s="186" t="s">
        <v>98</v>
      </c>
      <c r="E356" s="187"/>
      <c r="F356" s="187">
        <v>15000000</v>
      </c>
      <c r="G356" s="187"/>
      <c r="H356" s="188" t="s">
        <v>51</v>
      </c>
      <c r="I356" s="189" t="s">
        <v>556</v>
      </c>
      <c r="J356" s="206">
        <v>4</v>
      </c>
      <c r="K356" s="206">
        <v>6</v>
      </c>
      <c r="L356" s="206">
        <v>1</v>
      </c>
      <c r="M356" s="185">
        <v>1</v>
      </c>
      <c r="N356" s="193" t="s">
        <v>43</v>
      </c>
      <c r="O356" s="194" t="s">
        <v>44</v>
      </c>
      <c r="P356" s="195">
        <v>1</v>
      </c>
      <c r="Q356" s="196">
        <v>15000000</v>
      </c>
      <c r="R356" s="196">
        <v>15000000</v>
      </c>
      <c r="S356" s="197" t="s">
        <v>217</v>
      </c>
      <c r="T356" s="193">
        <v>0</v>
      </c>
      <c r="U356" s="198" t="str">
        <f t="shared" si="96"/>
        <v>SUBDIRECCION DE GESTION CONTRACTUAL</v>
      </c>
      <c r="V356" s="185" t="str">
        <f t="shared" si="97"/>
        <v>CO-DC</v>
      </c>
      <c r="W356" s="198" t="str">
        <f t="shared" si="98"/>
        <v>Distrito Capital de Bogotá</v>
      </c>
      <c r="X356" s="199" t="s">
        <v>73</v>
      </c>
      <c r="Y356" s="202">
        <v>2427400</v>
      </c>
      <c r="Z356" s="200" t="s">
        <v>74</v>
      </c>
    </row>
    <row r="357" spans="1:26" s="7" customFormat="1" ht="12.75" customHeight="1" x14ac:dyDescent="0.2">
      <c r="A357" s="184" t="s">
        <v>97</v>
      </c>
      <c r="B357" s="185">
        <v>92</v>
      </c>
      <c r="C357" s="186" t="s">
        <v>363</v>
      </c>
      <c r="D357" s="186" t="s">
        <v>98</v>
      </c>
      <c r="E357" s="187"/>
      <c r="F357" s="187">
        <f>20000000000-20000000000</f>
        <v>0</v>
      </c>
      <c r="G357" s="187"/>
      <c r="H357" s="188" t="s">
        <v>361</v>
      </c>
      <c r="I357" s="205" t="s">
        <v>970</v>
      </c>
      <c r="J357" s="206">
        <v>2</v>
      </c>
      <c r="K357" s="206">
        <v>2</v>
      </c>
      <c r="L357" s="206">
        <v>10</v>
      </c>
      <c r="M357" s="185">
        <v>1</v>
      </c>
      <c r="N357" s="193" t="s">
        <v>36</v>
      </c>
      <c r="O357" s="194" t="s">
        <v>256</v>
      </c>
      <c r="P357" s="195">
        <v>1</v>
      </c>
      <c r="Q357" s="196">
        <v>0</v>
      </c>
      <c r="R357" s="196">
        <v>0</v>
      </c>
      <c r="S357" s="197" t="s">
        <v>217</v>
      </c>
      <c r="T357" s="193">
        <v>0</v>
      </c>
      <c r="U357" s="198" t="str">
        <f t="shared" si="96"/>
        <v>SUBDIRECCION DE GESTION CONTRACTUAL</v>
      </c>
      <c r="V357" s="185" t="str">
        <f t="shared" si="97"/>
        <v>CO-DC</v>
      </c>
      <c r="W357" s="198" t="str">
        <f t="shared" si="98"/>
        <v>Distrito Capital de Bogotá</v>
      </c>
      <c r="X357" s="199" t="s">
        <v>103</v>
      </c>
      <c r="Y357" s="202">
        <v>2427400</v>
      </c>
      <c r="Z357" s="200" t="s">
        <v>339</v>
      </c>
    </row>
    <row r="358" spans="1:26" s="7" customFormat="1" ht="12.75" customHeight="1" x14ac:dyDescent="0.2">
      <c r="A358" s="184" t="s">
        <v>829</v>
      </c>
      <c r="B358" s="185">
        <v>8</v>
      </c>
      <c r="C358" s="186" t="s">
        <v>342</v>
      </c>
      <c r="D358" s="186" t="s">
        <v>98</v>
      </c>
      <c r="E358" s="187"/>
      <c r="F358" s="187">
        <v>50000000</v>
      </c>
      <c r="G358" s="187"/>
      <c r="H358" s="188" t="s">
        <v>565</v>
      </c>
      <c r="I358" s="189" t="s">
        <v>344</v>
      </c>
      <c r="J358" s="190">
        <v>8</v>
      </c>
      <c r="K358" s="191">
        <v>8</v>
      </c>
      <c r="L358" s="192">
        <v>4</v>
      </c>
      <c r="M358" s="185">
        <v>1</v>
      </c>
      <c r="N358" s="193" t="s">
        <v>210</v>
      </c>
      <c r="O358" s="194" t="s">
        <v>264</v>
      </c>
      <c r="P358" s="195">
        <v>1</v>
      </c>
      <c r="Q358" s="196">
        <f t="shared" ref="Q358:Q389" si="100">+E358+F358+G358</f>
        <v>50000000</v>
      </c>
      <c r="R358" s="196">
        <f t="shared" ref="R358:R389" si="101">+F358</f>
        <v>50000000</v>
      </c>
      <c r="S358" s="197" t="s">
        <v>217</v>
      </c>
      <c r="T358" s="193">
        <v>0</v>
      </c>
      <c r="U358" s="198" t="str">
        <f t="shared" si="96"/>
        <v>SUBDIRECCION DE GESTION CONTRACTUAL</v>
      </c>
      <c r="V358" s="185" t="str">
        <f t="shared" si="97"/>
        <v>CO-DC</v>
      </c>
      <c r="W358" s="198" t="str">
        <f t="shared" si="98"/>
        <v>Distrito Capital de Bogotá</v>
      </c>
      <c r="X358" s="199" t="s">
        <v>299</v>
      </c>
      <c r="Y358" s="185">
        <v>2427400</v>
      </c>
      <c r="Z358" s="200" t="s">
        <v>92</v>
      </c>
    </row>
    <row r="359" spans="1:26" s="7" customFormat="1" ht="12.75" customHeight="1" x14ac:dyDescent="0.2">
      <c r="A359" s="184" t="s">
        <v>163</v>
      </c>
      <c r="B359" s="185">
        <v>1</v>
      </c>
      <c r="C359" s="186" t="s">
        <v>373</v>
      </c>
      <c r="D359" s="204" t="s">
        <v>756</v>
      </c>
      <c r="E359" s="187"/>
      <c r="F359" s="187">
        <f>8521050000-215000000-100000000</f>
        <v>8206050000</v>
      </c>
      <c r="G359" s="187"/>
      <c r="H359" s="188">
        <v>80111600</v>
      </c>
      <c r="I359" s="205" t="s">
        <v>374</v>
      </c>
      <c r="J359" s="206">
        <v>1</v>
      </c>
      <c r="K359" s="206">
        <v>1</v>
      </c>
      <c r="L359" s="206">
        <v>12</v>
      </c>
      <c r="M359" s="185">
        <f>IF(ISBLANK(J359),"",1)</f>
        <v>1</v>
      </c>
      <c r="N359" s="193" t="s">
        <v>210</v>
      </c>
      <c r="O359" s="194" t="s">
        <v>264</v>
      </c>
      <c r="P359" s="195">
        <f t="shared" ref="P359:P404" si="102">IF(ISBLANK(N359),"",1)</f>
        <v>1</v>
      </c>
      <c r="Q359" s="196">
        <f t="shared" si="100"/>
        <v>8206050000</v>
      </c>
      <c r="R359" s="196">
        <f t="shared" si="101"/>
        <v>8206050000</v>
      </c>
      <c r="S359" s="197" t="s">
        <v>217</v>
      </c>
      <c r="T359" s="193">
        <f t="shared" ref="T359:T404" si="103">IF(ISBLANK(S359),"",IF(VALUE(S359)=0,0,IF(VALUE(S359)=1,3,"")))</f>
        <v>0</v>
      </c>
      <c r="U359" s="198" t="str">
        <f t="shared" si="96"/>
        <v>SUBDIRECCION DE GESTION CONTRACTUAL</v>
      </c>
      <c r="V359" s="185" t="str">
        <f t="shared" si="97"/>
        <v>CO-DC</v>
      </c>
      <c r="W359" s="198" t="str">
        <f t="shared" si="98"/>
        <v>Distrito Capital de Bogotá</v>
      </c>
      <c r="X359" s="199" t="s">
        <v>164</v>
      </c>
      <c r="Y359" s="185">
        <v>2427400</v>
      </c>
      <c r="Z359" s="200" t="s">
        <v>165</v>
      </c>
    </row>
    <row r="360" spans="1:26" s="7" customFormat="1" ht="12.75" customHeight="1" x14ac:dyDescent="0.2">
      <c r="A360" s="184" t="s">
        <v>163</v>
      </c>
      <c r="B360" s="185">
        <v>2</v>
      </c>
      <c r="C360" s="186" t="s">
        <v>373</v>
      </c>
      <c r="D360" s="204" t="s">
        <v>756</v>
      </c>
      <c r="E360" s="187"/>
      <c r="F360" s="187">
        <v>1200000000</v>
      </c>
      <c r="G360" s="187"/>
      <c r="H360" s="188" t="s">
        <v>710</v>
      </c>
      <c r="I360" s="189" t="s">
        <v>375</v>
      </c>
      <c r="J360" s="190">
        <v>2</v>
      </c>
      <c r="K360" s="191">
        <v>3</v>
      </c>
      <c r="L360" s="192">
        <v>9</v>
      </c>
      <c r="M360" s="185">
        <f>IF(ISBLANK(J360),"",1)</f>
        <v>1</v>
      </c>
      <c r="N360" s="193" t="s">
        <v>221</v>
      </c>
      <c r="O360" s="194" t="s">
        <v>903</v>
      </c>
      <c r="P360" s="195">
        <f t="shared" si="102"/>
        <v>1</v>
      </c>
      <c r="Q360" s="196">
        <f t="shared" si="100"/>
        <v>1200000000</v>
      </c>
      <c r="R360" s="196">
        <f t="shared" si="101"/>
        <v>1200000000</v>
      </c>
      <c r="S360" s="197" t="s">
        <v>217</v>
      </c>
      <c r="T360" s="193">
        <f t="shared" si="103"/>
        <v>0</v>
      </c>
      <c r="U360" s="198" t="str">
        <f t="shared" si="96"/>
        <v>SUBDIRECCION DE GESTION CONTRACTUAL</v>
      </c>
      <c r="V360" s="185" t="str">
        <f t="shared" si="97"/>
        <v>CO-DC</v>
      </c>
      <c r="W360" s="198" t="str">
        <f t="shared" si="98"/>
        <v>Distrito Capital de Bogotá</v>
      </c>
      <c r="X360" s="199" t="s">
        <v>164</v>
      </c>
      <c r="Y360" s="185">
        <v>2427400</v>
      </c>
      <c r="Z360" s="200" t="s">
        <v>165</v>
      </c>
    </row>
    <row r="361" spans="1:26" s="7" customFormat="1" ht="12.75" customHeight="1" x14ac:dyDescent="0.2">
      <c r="A361" s="184" t="s">
        <v>163</v>
      </c>
      <c r="B361" s="185">
        <v>3</v>
      </c>
      <c r="C361" s="186" t="s">
        <v>373</v>
      </c>
      <c r="D361" s="204" t="s">
        <v>756</v>
      </c>
      <c r="E361" s="187">
        <v>29702409.983999997</v>
      </c>
      <c r="F361" s="187">
        <f>445000000+10000000</f>
        <v>455000000</v>
      </c>
      <c r="G361" s="187"/>
      <c r="H361" s="188" t="s">
        <v>42</v>
      </c>
      <c r="I361" s="189" t="s">
        <v>376</v>
      </c>
      <c r="J361" s="190">
        <v>3</v>
      </c>
      <c r="K361" s="191">
        <v>4</v>
      </c>
      <c r="L361" s="192">
        <v>9</v>
      </c>
      <c r="M361" s="185">
        <f>IF(ISBLANK(J361),"",1)</f>
        <v>1</v>
      </c>
      <c r="N361" s="193" t="s">
        <v>61</v>
      </c>
      <c r="O361" s="194" t="s">
        <v>902</v>
      </c>
      <c r="P361" s="195">
        <f t="shared" si="102"/>
        <v>1</v>
      </c>
      <c r="Q361" s="196">
        <f t="shared" si="100"/>
        <v>484702409.98399997</v>
      </c>
      <c r="R361" s="196">
        <f t="shared" si="101"/>
        <v>455000000</v>
      </c>
      <c r="S361" s="197" t="s">
        <v>217</v>
      </c>
      <c r="T361" s="193">
        <f t="shared" si="103"/>
        <v>0</v>
      </c>
      <c r="U361" s="198" t="str">
        <f t="shared" si="96"/>
        <v>SUBDIRECCION DE GESTION CONTRACTUAL</v>
      </c>
      <c r="V361" s="185" t="str">
        <f t="shared" si="97"/>
        <v>CO-DC</v>
      </c>
      <c r="W361" s="198" t="str">
        <f t="shared" si="98"/>
        <v>Distrito Capital de Bogotá</v>
      </c>
      <c r="X361" s="199" t="s">
        <v>164</v>
      </c>
      <c r="Y361" s="185">
        <v>2427400</v>
      </c>
      <c r="Z361" s="200" t="s">
        <v>165</v>
      </c>
    </row>
    <row r="362" spans="1:26" s="7" customFormat="1" ht="12.75" customHeight="1" x14ac:dyDescent="0.2">
      <c r="A362" s="184" t="s">
        <v>163</v>
      </c>
      <c r="B362" s="185">
        <v>4</v>
      </c>
      <c r="C362" s="186" t="s">
        <v>373</v>
      </c>
      <c r="D362" s="204" t="s">
        <v>756</v>
      </c>
      <c r="E362" s="187"/>
      <c r="F362" s="187">
        <v>75000000</v>
      </c>
      <c r="G362" s="187"/>
      <c r="H362" s="188" t="s">
        <v>565</v>
      </c>
      <c r="I362" s="189" t="s">
        <v>377</v>
      </c>
      <c r="J362" s="190">
        <v>8</v>
      </c>
      <c r="K362" s="191" t="s">
        <v>826</v>
      </c>
      <c r="L362" s="192">
        <v>4</v>
      </c>
      <c r="M362" s="263">
        <v>1</v>
      </c>
      <c r="N362" s="239" t="s">
        <v>210</v>
      </c>
      <c r="O362" s="194" t="s">
        <v>264</v>
      </c>
      <c r="P362" s="195">
        <f t="shared" si="102"/>
        <v>1</v>
      </c>
      <c r="Q362" s="196">
        <f t="shared" si="100"/>
        <v>75000000</v>
      </c>
      <c r="R362" s="196">
        <f t="shared" si="101"/>
        <v>75000000</v>
      </c>
      <c r="S362" s="197" t="s">
        <v>217</v>
      </c>
      <c r="T362" s="193">
        <f t="shared" si="103"/>
        <v>0</v>
      </c>
      <c r="U362" s="198" t="str">
        <f t="shared" si="96"/>
        <v>SUBDIRECCION DE GESTION CONTRACTUAL</v>
      </c>
      <c r="V362" s="185" t="str">
        <f t="shared" si="97"/>
        <v>CO-DC</v>
      </c>
      <c r="W362" s="198" t="str">
        <f t="shared" si="98"/>
        <v>Distrito Capital de Bogotá</v>
      </c>
      <c r="X362" s="199" t="s">
        <v>299</v>
      </c>
      <c r="Y362" s="185">
        <v>2427400</v>
      </c>
      <c r="Z362" s="200" t="s">
        <v>92</v>
      </c>
    </row>
    <row r="363" spans="1:26" s="7" customFormat="1" ht="12.75" customHeight="1" x14ac:dyDescent="0.2">
      <c r="A363" s="184" t="s">
        <v>163</v>
      </c>
      <c r="B363" s="185">
        <v>5</v>
      </c>
      <c r="C363" s="186" t="s">
        <v>373</v>
      </c>
      <c r="D363" s="204" t="s">
        <v>756</v>
      </c>
      <c r="E363" s="187"/>
      <c r="F363" s="187">
        <f>1250000000-10000000</f>
        <v>1240000000</v>
      </c>
      <c r="G363" s="187"/>
      <c r="H363" s="188" t="s">
        <v>712</v>
      </c>
      <c r="I363" s="189" t="s">
        <v>378</v>
      </c>
      <c r="J363" s="206">
        <v>6</v>
      </c>
      <c r="K363" s="206">
        <v>6</v>
      </c>
      <c r="L363" s="206">
        <v>6</v>
      </c>
      <c r="M363" s="185">
        <f t="shared" ref="M363:M379" si="104">IF(ISBLANK(J363),"",1)</f>
        <v>1</v>
      </c>
      <c r="N363" s="193" t="s">
        <v>36</v>
      </c>
      <c r="O363" s="194" t="s">
        <v>256</v>
      </c>
      <c r="P363" s="195">
        <f t="shared" si="102"/>
        <v>1</v>
      </c>
      <c r="Q363" s="196">
        <f t="shared" si="100"/>
        <v>1240000000</v>
      </c>
      <c r="R363" s="196">
        <f t="shared" si="101"/>
        <v>1240000000</v>
      </c>
      <c r="S363" s="197" t="s">
        <v>217</v>
      </c>
      <c r="T363" s="193">
        <f t="shared" si="103"/>
        <v>0</v>
      </c>
      <c r="U363" s="198" t="str">
        <f t="shared" si="96"/>
        <v>SUBDIRECCION DE GESTION CONTRACTUAL</v>
      </c>
      <c r="V363" s="185" t="str">
        <f t="shared" si="97"/>
        <v>CO-DC</v>
      </c>
      <c r="W363" s="198" t="str">
        <f t="shared" si="98"/>
        <v>Distrito Capital de Bogotá</v>
      </c>
      <c r="X363" s="199" t="s">
        <v>164</v>
      </c>
      <c r="Y363" s="185">
        <v>2427400</v>
      </c>
      <c r="Z363" s="200" t="s">
        <v>165</v>
      </c>
    </row>
    <row r="364" spans="1:26" s="7" customFormat="1" ht="12.75" customHeight="1" x14ac:dyDescent="0.2">
      <c r="A364" s="184" t="s">
        <v>163</v>
      </c>
      <c r="B364" s="185">
        <v>6</v>
      </c>
      <c r="C364" s="186" t="s">
        <v>373</v>
      </c>
      <c r="D364" s="204" t="s">
        <v>756</v>
      </c>
      <c r="E364" s="187"/>
      <c r="F364" s="187">
        <v>100000000</v>
      </c>
      <c r="G364" s="187"/>
      <c r="H364" s="188" t="s">
        <v>225</v>
      </c>
      <c r="I364" s="189" t="s">
        <v>379</v>
      </c>
      <c r="J364" s="206">
        <v>7</v>
      </c>
      <c r="K364" s="206">
        <v>9</v>
      </c>
      <c r="L364" s="206">
        <v>3</v>
      </c>
      <c r="M364" s="185">
        <f t="shared" si="104"/>
        <v>1</v>
      </c>
      <c r="N364" s="193" t="s">
        <v>61</v>
      </c>
      <c r="O364" s="194" t="s">
        <v>902</v>
      </c>
      <c r="P364" s="195">
        <f t="shared" si="102"/>
        <v>1</v>
      </c>
      <c r="Q364" s="196">
        <f t="shared" si="100"/>
        <v>100000000</v>
      </c>
      <c r="R364" s="196">
        <f t="shared" si="101"/>
        <v>100000000</v>
      </c>
      <c r="S364" s="197" t="s">
        <v>217</v>
      </c>
      <c r="T364" s="193">
        <f t="shared" si="103"/>
        <v>0</v>
      </c>
      <c r="U364" s="198" t="str">
        <f t="shared" si="96"/>
        <v>SUBDIRECCION DE GESTION CONTRACTUAL</v>
      </c>
      <c r="V364" s="185" t="str">
        <f t="shared" si="97"/>
        <v>CO-DC</v>
      </c>
      <c r="W364" s="198" t="str">
        <f t="shared" si="98"/>
        <v>Distrito Capital de Bogotá</v>
      </c>
      <c r="X364" s="199" t="s">
        <v>974</v>
      </c>
      <c r="Y364" s="185">
        <v>2427400</v>
      </c>
      <c r="Z364" s="200" t="s">
        <v>885</v>
      </c>
    </row>
    <row r="365" spans="1:26" s="7" customFormat="1" ht="12.75" customHeight="1" x14ac:dyDescent="0.2">
      <c r="A365" s="184" t="s">
        <v>163</v>
      </c>
      <c r="B365" s="185">
        <v>7</v>
      </c>
      <c r="C365" s="186" t="s">
        <v>373</v>
      </c>
      <c r="D365" s="204" t="s">
        <v>756</v>
      </c>
      <c r="E365" s="187"/>
      <c r="F365" s="187">
        <v>15000000</v>
      </c>
      <c r="G365" s="187"/>
      <c r="H365" s="188" t="s">
        <v>51</v>
      </c>
      <c r="I365" s="189" t="s">
        <v>380</v>
      </c>
      <c r="J365" s="190">
        <v>4</v>
      </c>
      <c r="K365" s="191">
        <v>6</v>
      </c>
      <c r="L365" s="192">
        <v>1</v>
      </c>
      <c r="M365" s="185">
        <f t="shared" si="104"/>
        <v>1</v>
      </c>
      <c r="N365" s="193" t="s">
        <v>43</v>
      </c>
      <c r="O365" s="194" t="s">
        <v>44</v>
      </c>
      <c r="P365" s="195">
        <f t="shared" si="102"/>
        <v>1</v>
      </c>
      <c r="Q365" s="196">
        <f t="shared" si="100"/>
        <v>15000000</v>
      </c>
      <c r="R365" s="196">
        <f t="shared" si="101"/>
        <v>15000000</v>
      </c>
      <c r="S365" s="197" t="s">
        <v>217</v>
      </c>
      <c r="T365" s="193">
        <f t="shared" si="103"/>
        <v>0</v>
      </c>
      <c r="U365" s="198" t="str">
        <f t="shared" si="96"/>
        <v>SUBDIRECCION DE GESTION CONTRACTUAL</v>
      </c>
      <c r="V365" s="185" t="str">
        <f t="shared" si="97"/>
        <v>CO-DC</v>
      </c>
      <c r="W365" s="198" t="str">
        <f t="shared" si="98"/>
        <v>Distrito Capital de Bogotá</v>
      </c>
      <c r="X365" s="199" t="s">
        <v>73</v>
      </c>
      <c r="Y365" s="185">
        <v>2427400</v>
      </c>
      <c r="Z365" s="200" t="s">
        <v>74</v>
      </c>
    </row>
    <row r="366" spans="1:26" s="7" customFormat="1" ht="12.75" customHeight="1" x14ac:dyDescent="0.2">
      <c r="A366" s="184" t="s">
        <v>163</v>
      </c>
      <c r="B366" s="185">
        <v>8</v>
      </c>
      <c r="C366" s="186" t="s">
        <v>381</v>
      </c>
      <c r="D366" s="204" t="s">
        <v>756</v>
      </c>
      <c r="E366" s="187"/>
      <c r="F366" s="187">
        <v>28000000000</v>
      </c>
      <c r="G366" s="187"/>
      <c r="H366" s="188" t="s">
        <v>712</v>
      </c>
      <c r="I366" s="189" t="s">
        <v>947</v>
      </c>
      <c r="J366" s="206">
        <v>5</v>
      </c>
      <c r="K366" s="206">
        <v>6</v>
      </c>
      <c r="L366" s="206">
        <v>6</v>
      </c>
      <c r="M366" s="185">
        <f t="shared" si="104"/>
        <v>1</v>
      </c>
      <c r="N366" s="193" t="s">
        <v>36</v>
      </c>
      <c r="O366" s="194" t="s">
        <v>256</v>
      </c>
      <c r="P366" s="195">
        <f t="shared" si="102"/>
        <v>1</v>
      </c>
      <c r="Q366" s="196">
        <f t="shared" si="100"/>
        <v>28000000000</v>
      </c>
      <c r="R366" s="196">
        <f t="shared" si="101"/>
        <v>28000000000</v>
      </c>
      <c r="S366" s="197" t="s">
        <v>217</v>
      </c>
      <c r="T366" s="193">
        <f t="shared" si="103"/>
        <v>0</v>
      </c>
      <c r="U366" s="198" t="str">
        <f t="shared" si="96"/>
        <v>SUBDIRECCION DE GESTION CONTRACTUAL</v>
      </c>
      <c r="V366" s="185" t="str">
        <f t="shared" si="97"/>
        <v>CO-DC</v>
      </c>
      <c r="W366" s="198" t="str">
        <f t="shared" si="98"/>
        <v>Distrito Capital de Bogotá</v>
      </c>
      <c r="X366" s="199" t="s">
        <v>164</v>
      </c>
      <c r="Y366" s="185">
        <v>2427400</v>
      </c>
      <c r="Z366" s="200" t="s">
        <v>165</v>
      </c>
    </row>
    <row r="367" spans="1:26" s="7" customFormat="1" ht="12.75" customHeight="1" x14ac:dyDescent="0.2">
      <c r="A367" s="184" t="s">
        <v>163</v>
      </c>
      <c r="B367" s="185">
        <v>9</v>
      </c>
      <c r="C367" s="186" t="s">
        <v>166</v>
      </c>
      <c r="D367" s="186" t="s">
        <v>167</v>
      </c>
      <c r="E367" s="187"/>
      <c r="F367" s="187">
        <v>2257136244</v>
      </c>
      <c r="G367" s="187"/>
      <c r="H367" s="188">
        <v>80111600</v>
      </c>
      <c r="I367" s="189" t="s">
        <v>374</v>
      </c>
      <c r="J367" s="206">
        <v>1</v>
      </c>
      <c r="K367" s="206">
        <v>1</v>
      </c>
      <c r="L367" s="206">
        <v>12</v>
      </c>
      <c r="M367" s="185">
        <f t="shared" si="104"/>
        <v>1</v>
      </c>
      <c r="N367" s="193" t="s">
        <v>210</v>
      </c>
      <c r="O367" s="194" t="s">
        <v>264</v>
      </c>
      <c r="P367" s="195">
        <f t="shared" si="102"/>
        <v>1</v>
      </c>
      <c r="Q367" s="196">
        <f t="shared" si="100"/>
        <v>2257136244</v>
      </c>
      <c r="R367" s="196">
        <f t="shared" si="101"/>
        <v>2257136244</v>
      </c>
      <c r="S367" s="197" t="s">
        <v>217</v>
      </c>
      <c r="T367" s="193">
        <f t="shared" si="103"/>
        <v>0</v>
      </c>
      <c r="U367" s="198" t="str">
        <f t="shared" si="96"/>
        <v>SUBDIRECCION DE GESTION CONTRACTUAL</v>
      </c>
      <c r="V367" s="185" t="str">
        <f t="shared" si="97"/>
        <v>CO-DC</v>
      </c>
      <c r="W367" s="198" t="str">
        <f t="shared" si="98"/>
        <v>Distrito Capital de Bogotá</v>
      </c>
      <c r="X367" s="199" t="s">
        <v>164</v>
      </c>
      <c r="Y367" s="185">
        <v>2427400</v>
      </c>
      <c r="Z367" s="200" t="s">
        <v>165</v>
      </c>
    </row>
    <row r="368" spans="1:26" s="7" customFormat="1" ht="12.75" customHeight="1" x14ac:dyDescent="0.2">
      <c r="A368" s="184" t="s">
        <v>163</v>
      </c>
      <c r="B368" s="185">
        <v>10</v>
      </c>
      <c r="C368" s="186" t="s">
        <v>166</v>
      </c>
      <c r="D368" s="186" t="s">
        <v>167</v>
      </c>
      <c r="E368" s="187"/>
      <c r="F368" s="187">
        <v>80000000</v>
      </c>
      <c r="G368" s="187"/>
      <c r="H368" s="188" t="s">
        <v>710</v>
      </c>
      <c r="I368" s="189" t="s">
        <v>382</v>
      </c>
      <c r="J368" s="206">
        <v>1</v>
      </c>
      <c r="K368" s="206">
        <v>2</v>
      </c>
      <c r="L368" s="206">
        <v>3</v>
      </c>
      <c r="M368" s="185">
        <f t="shared" si="104"/>
        <v>1</v>
      </c>
      <c r="N368" s="193" t="s">
        <v>36</v>
      </c>
      <c r="O368" s="194" t="s">
        <v>256</v>
      </c>
      <c r="P368" s="195">
        <f t="shared" si="102"/>
        <v>1</v>
      </c>
      <c r="Q368" s="196">
        <f t="shared" si="100"/>
        <v>80000000</v>
      </c>
      <c r="R368" s="196">
        <f t="shared" si="101"/>
        <v>80000000</v>
      </c>
      <c r="S368" s="197" t="s">
        <v>217</v>
      </c>
      <c r="T368" s="193">
        <f t="shared" si="103"/>
        <v>0</v>
      </c>
      <c r="U368" s="198" t="str">
        <f t="shared" si="96"/>
        <v>SUBDIRECCION DE GESTION CONTRACTUAL</v>
      </c>
      <c r="V368" s="185" t="str">
        <f t="shared" si="97"/>
        <v>CO-DC</v>
      </c>
      <c r="W368" s="198" t="str">
        <f t="shared" si="98"/>
        <v>Distrito Capital de Bogotá</v>
      </c>
      <c r="X368" s="199" t="s">
        <v>164</v>
      </c>
      <c r="Y368" s="185">
        <v>2427400</v>
      </c>
      <c r="Z368" s="200" t="s">
        <v>165</v>
      </c>
    </row>
    <row r="369" spans="1:26" s="7" customFormat="1" ht="12.75" customHeight="1" x14ac:dyDescent="0.2">
      <c r="A369" s="184" t="s">
        <v>163</v>
      </c>
      <c r="B369" s="185">
        <v>11</v>
      </c>
      <c r="C369" s="186" t="s">
        <v>166</v>
      </c>
      <c r="D369" s="186" t="s">
        <v>167</v>
      </c>
      <c r="E369" s="187"/>
      <c r="F369" s="187">
        <f>295000000-80000000</f>
        <v>215000000</v>
      </c>
      <c r="G369" s="187"/>
      <c r="H369" s="188" t="s">
        <v>710</v>
      </c>
      <c r="I369" s="189" t="s">
        <v>382</v>
      </c>
      <c r="J369" s="190">
        <v>2</v>
      </c>
      <c r="K369" s="191">
        <v>3</v>
      </c>
      <c r="L369" s="192">
        <v>9</v>
      </c>
      <c r="M369" s="185">
        <f t="shared" si="104"/>
        <v>1</v>
      </c>
      <c r="N369" s="193" t="s">
        <v>221</v>
      </c>
      <c r="O369" s="194" t="s">
        <v>903</v>
      </c>
      <c r="P369" s="195">
        <f t="shared" si="102"/>
        <v>1</v>
      </c>
      <c r="Q369" s="196">
        <f t="shared" si="100"/>
        <v>215000000</v>
      </c>
      <c r="R369" s="196">
        <f t="shared" si="101"/>
        <v>215000000</v>
      </c>
      <c r="S369" s="197" t="s">
        <v>217</v>
      </c>
      <c r="T369" s="193">
        <f t="shared" si="103"/>
        <v>0</v>
      </c>
      <c r="U369" s="198" t="str">
        <f t="shared" si="96"/>
        <v>SUBDIRECCION DE GESTION CONTRACTUAL</v>
      </c>
      <c r="V369" s="185" t="str">
        <f t="shared" si="97"/>
        <v>CO-DC</v>
      </c>
      <c r="W369" s="198" t="str">
        <f t="shared" si="98"/>
        <v>Distrito Capital de Bogotá</v>
      </c>
      <c r="X369" s="199" t="s">
        <v>164</v>
      </c>
      <c r="Y369" s="185">
        <v>2427400</v>
      </c>
      <c r="Z369" s="200" t="s">
        <v>165</v>
      </c>
    </row>
    <row r="370" spans="1:26" s="7" customFormat="1" ht="12.75" customHeight="1" x14ac:dyDescent="0.2">
      <c r="A370" s="184" t="s">
        <v>163</v>
      </c>
      <c r="B370" s="185">
        <v>12</v>
      </c>
      <c r="C370" s="186" t="s">
        <v>166</v>
      </c>
      <c r="D370" s="186" t="s">
        <v>167</v>
      </c>
      <c r="E370" s="187"/>
      <c r="F370" s="187">
        <v>100000000</v>
      </c>
      <c r="G370" s="187"/>
      <c r="H370" s="188">
        <v>93121607</v>
      </c>
      <c r="I370" s="189" t="s">
        <v>383</v>
      </c>
      <c r="J370" s="206">
        <v>6</v>
      </c>
      <c r="K370" s="206">
        <v>6</v>
      </c>
      <c r="L370" s="206">
        <v>6</v>
      </c>
      <c r="M370" s="185">
        <f t="shared" si="104"/>
        <v>1</v>
      </c>
      <c r="N370" s="193" t="s">
        <v>36</v>
      </c>
      <c r="O370" s="194" t="s">
        <v>256</v>
      </c>
      <c r="P370" s="195">
        <f t="shared" si="102"/>
        <v>1</v>
      </c>
      <c r="Q370" s="196">
        <f t="shared" si="100"/>
        <v>100000000</v>
      </c>
      <c r="R370" s="196">
        <f t="shared" si="101"/>
        <v>100000000</v>
      </c>
      <c r="S370" s="197" t="s">
        <v>217</v>
      </c>
      <c r="T370" s="193">
        <f t="shared" si="103"/>
        <v>0</v>
      </c>
      <c r="U370" s="198" t="str">
        <f t="shared" si="96"/>
        <v>SUBDIRECCION DE GESTION CONTRACTUAL</v>
      </c>
      <c r="V370" s="185" t="str">
        <f t="shared" si="97"/>
        <v>CO-DC</v>
      </c>
      <c r="W370" s="198" t="str">
        <f t="shared" si="98"/>
        <v>Distrito Capital de Bogotá</v>
      </c>
      <c r="X370" s="199" t="s">
        <v>164</v>
      </c>
      <c r="Y370" s="185">
        <v>2427400</v>
      </c>
      <c r="Z370" s="200" t="s">
        <v>165</v>
      </c>
    </row>
    <row r="371" spans="1:26" s="7" customFormat="1" ht="12.75" customHeight="1" x14ac:dyDescent="0.2">
      <c r="A371" s="184" t="s">
        <v>163</v>
      </c>
      <c r="B371" s="185">
        <v>13</v>
      </c>
      <c r="C371" s="186" t="s">
        <v>166</v>
      </c>
      <c r="D371" s="186" t="s">
        <v>167</v>
      </c>
      <c r="E371" s="187"/>
      <c r="F371" s="187">
        <v>100000000</v>
      </c>
      <c r="G371" s="187"/>
      <c r="H371" s="188" t="s">
        <v>42</v>
      </c>
      <c r="I371" s="189" t="s">
        <v>376</v>
      </c>
      <c r="J371" s="190">
        <v>3</v>
      </c>
      <c r="K371" s="191">
        <v>4</v>
      </c>
      <c r="L371" s="192">
        <v>9</v>
      </c>
      <c r="M371" s="185">
        <f t="shared" si="104"/>
        <v>1</v>
      </c>
      <c r="N371" s="193" t="s">
        <v>61</v>
      </c>
      <c r="O371" s="194" t="s">
        <v>902</v>
      </c>
      <c r="P371" s="195">
        <f t="shared" si="102"/>
        <v>1</v>
      </c>
      <c r="Q371" s="196">
        <f t="shared" si="100"/>
        <v>100000000</v>
      </c>
      <c r="R371" s="196">
        <f t="shared" si="101"/>
        <v>100000000</v>
      </c>
      <c r="S371" s="197" t="s">
        <v>217</v>
      </c>
      <c r="T371" s="193">
        <f t="shared" si="103"/>
        <v>0</v>
      </c>
      <c r="U371" s="198" t="str">
        <f t="shared" si="96"/>
        <v>SUBDIRECCION DE GESTION CONTRACTUAL</v>
      </c>
      <c r="V371" s="185" t="str">
        <f t="shared" si="97"/>
        <v>CO-DC</v>
      </c>
      <c r="W371" s="198" t="str">
        <f t="shared" si="98"/>
        <v>Distrito Capital de Bogotá</v>
      </c>
      <c r="X371" s="199" t="s">
        <v>164</v>
      </c>
      <c r="Y371" s="185">
        <v>2427400</v>
      </c>
      <c r="Z371" s="200" t="s">
        <v>165</v>
      </c>
    </row>
    <row r="372" spans="1:26" s="7" customFormat="1" ht="12.75" customHeight="1" x14ac:dyDescent="0.2">
      <c r="A372" s="184" t="s">
        <v>163</v>
      </c>
      <c r="B372" s="185">
        <v>14</v>
      </c>
      <c r="C372" s="186" t="s">
        <v>168</v>
      </c>
      <c r="D372" s="186" t="s">
        <v>169</v>
      </c>
      <c r="E372" s="187"/>
      <c r="F372" s="187">
        <f>890000000-890000000</f>
        <v>0</v>
      </c>
      <c r="G372" s="187"/>
      <c r="H372" s="188">
        <v>80111600</v>
      </c>
      <c r="I372" s="205" t="s">
        <v>374</v>
      </c>
      <c r="J372" s="206">
        <v>1</v>
      </c>
      <c r="K372" s="206">
        <v>1</v>
      </c>
      <c r="L372" s="206">
        <v>12</v>
      </c>
      <c r="M372" s="185">
        <f t="shared" si="104"/>
        <v>1</v>
      </c>
      <c r="N372" s="193" t="s">
        <v>210</v>
      </c>
      <c r="O372" s="194" t="s">
        <v>264</v>
      </c>
      <c r="P372" s="195">
        <f t="shared" si="102"/>
        <v>1</v>
      </c>
      <c r="Q372" s="196">
        <f t="shared" si="100"/>
        <v>0</v>
      </c>
      <c r="R372" s="196">
        <f t="shared" si="101"/>
        <v>0</v>
      </c>
      <c r="S372" s="197" t="s">
        <v>217</v>
      </c>
      <c r="T372" s="193">
        <f t="shared" si="103"/>
        <v>0</v>
      </c>
      <c r="U372" s="198" t="str">
        <f t="shared" si="96"/>
        <v>SUBDIRECCION DE GESTION CONTRACTUAL</v>
      </c>
      <c r="V372" s="185" t="str">
        <f t="shared" si="97"/>
        <v>CO-DC</v>
      </c>
      <c r="W372" s="198" t="str">
        <f t="shared" si="98"/>
        <v>Distrito Capital de Bogotá</v>
      </c>
      <c r="X372" s="199" t="s">
        <v>164</v>
      </c>
      <c r="Y372" s="185">
        <v>2427400</v>
      </c>
      <c r="Z372" s="200" t="s">
        <v>165</v>
      </c>
    </row>
    <row r="373" spans="1:26" s="7" customFormat="1" ht="12.75" customHeight="1" x14ac:dyDescent="0.2">
      <c r="A373" s="184" t="s">
        <v>163</v>
      </c>
      <c r="B373" s="185">
        <v>15</v>
      </c>
      <c r="C373" s="186" t="s">
        <v>168</v>
      </c>
      <c r="D373" s="186" t="s">
        <v>169</v>
      </c>
      <c r="E373" s="187"/>
      <c r="F373" s="187">
        <f>150000000-150000000</f>
        <v>0</v>
      </c>
      <c r="G373" s="187"/>
      <c r="H373" s="188" t="s">
        <v>710</v>
      </c>
      <c r="I373" s="189" t="s">
        <v>382</v>
      </c>
      <c r="J373" s="190">
        <v>2</v>
      </c>
      <c r="K373" s="191">
        <v>3</v>
      </c>
      <c r="L373" s="192">
        <v>9</v>
      </c>
      <c r="M373" s="185">
        <f t="shared" si="104"/>
        <v>1</v>
      </c>
      <c r="N373" s="193" t="s">
        <v>221</v>
      </c>
      <c r="O373" s="194" t="s">
        <v>903</v>
      </c>
      <c r="P373" s="195">
        <f t="shared" si="102"/>
        <v>1</v>
      </c>
      <c r="Q373" s="196">
        <f t="shared" si="100"/>
        <v>0</v>
      </c>
      <c r="R373" s="196">
        <f t="shared" si="101"/>
        <v>0</v>
      </c>
      <c r="S373" s="197" t="s">
        <v>217</v>
      </c>
      <c r="T373" s="193">
        <f t="shared" si="103"/>
        <v>0</v>
      </c>
      <c r="U373" s="198" t="str">
        <f t="shared" si="96"/>
        <v>SUBDIRECCION DE GESTION CONTRACTUAL</v>
      </c>
      <c r="V373" s="185" t="str">
        <f t="shared" si="97"/>
        <v>CO-DC</v>
      </c>
      <c r="W373" s="198" t="str">
        <f t="shared" si="98"/>
        <v>Distrito Capital de Bogotá</v>
      </c>
      <c r="X373" s="199" t="s">
        <v>164</v>
      </c>
      <c r="Y373" s="185">
        <v>2427400</v>
      </c>
      <c r="Z373" s="200" t="s">
        <v>165</v>
      </c>
    </row>
    <row r="374" spans="1:26" s="7" customFormat="1" ht="12.75" customHeight="1" x14ac:dyDescent="0.2">
      <c r="A374" s="184" t="s">
        <v>163</v>
      </c>
      <c r="B374" s="185">
        <v>16</v>
      </c>
      <c r="C374" s="186" t="s">
        <v>168</v>
      </c>
      <c r="D374" s="186" t="s">
        <v>169</v>
      </c>
      <c r="E374" s="187"/>
      <c r="F374" s="187">
        <f>100000000-100000000</f>
        <v>0</v>
      </c>
      <c r="G374" s="187"/>
      <c r="H374" s="188" t="s">
        <v>42</v>
      </c>
      <c r="I374" s="189" t="s">
        <v>376</v>
      </c>
      <c r="J374" s="190">
        <v>3</v>
      </c>
      <c r="K374" s="191">
        <v>4</v>
      </c>
      <c r="L374" s="192">
        <v>9</v>
      </c>
      <c r="M374" s="185">
        <f t="shared" si="104"/>
        <v>1</v>
      </c>
      <c r="N374" s="193" t="s">
        <v>61</v>
      </c>
      <c r="O374" s="194" t="s">
        <v>902</v>
      </c>
      <c r="P374" s="195">
        <f t="shared" si="102"/>
        <v>1</v>
      </c>
      <c r="Q374" s="196">
        <f t="shared" si="100"/>
        <v>0</v>
      </c>
      <c r="R374" s="196">
        <f t="shared" si="101"/>
        <v>0</v>
      </c>
      <c r="S374" s="197" t="s">
        <v>217</v>
      </c>
      <c r="T374" s="193">
        <f t="shared" si="103"/>
        <v>0</v>
      </c>
      <c r="U374" s="198" t="str">
        <f t="shared" si="96"/>
        <v>SUBDIRECCION DE GESTION CONTRACTUAL</v>
      </c>
      <c r="V374" s="185" t="str">
        <f t="shared" si="97"/>
        <v>CO-DC</v>
      </c>
      <c r="W374" s="198" t="str">
        <f t="shared" si="98"/>
        <v>Distrito Capital de Bogotá</v>
      </c>
      <c r="X374" s="199" t="s">
        <v>164</v>
      </c>
      <c r="Y374" s="185">
        <v>2427400</v>
      </c>
      <c r="Z374" s="200" t="s">
        <v>165</v>
      </c>
    </row>
    <row r="375" spans="1:26" s="7" customFormat="1" ht="12.75" customHeight="1" x14ac:dyDescent="0.2">
      <c r="A375" s="184" t="s">
        <v>163</v>
      </c>
      <c r="B375" s="185">
        <v>17</v>
      </c>
      <c r="C375" s="186" t="s">
        <v>168</v>
      </c>
      <c r="D375" s="186" t="s">
        <v>169</v>
      </c>
      <c r="E375" s="187"/>
      <c r="F375" s="187">
        <f>75000000-75000000</f>
        <v>0</v>
      </c>
      <c r="G375" s="187"/>
      <c r="H375" s="188" t="s">
        <v>565</v>
      </c>
      <c r="I375" s="189" t="s">
        <v>377</v>
      </c>
      <c r="J375" s="190">
        <v>2</v>
      </c>
      <c r="K375" s="191">
        <v>2</v>
      </c>
      <c r="L375" s="192">
        <v>10</v>
      </c>
      <c r="M375" s="185">
        <f t="shared" si="104"/>
        <v>1</v>
      </c>
      <c r="N375" s="193" t="s">
        <v>36</v>
      </c>
      <c r="O375" s="194" t="s">
        <v>256</v>
      </c>
      <c r="P375" s="195">
        <f t="shared" si="102"/>
        <v>1</v>
      </c>
      <c r="Q375" s="196">
        <f t="shared" si="100"/>
        <v>0</v>
      </c>
      <c r="R375" s="196">
        <f t="shared" si="101"/>
        <v>0</v>
      </c>
      <c r="S375" s="197" t="s">
        <v>217</v>
      </c>
      <c r="T375" s="193">
        <f t="shared" si="103"/>
        <v>0</v>
      </c>
      <c r="U375" s="198" t="str">
        <f t="shared" si="96"/>
        <v>SUBDIRECCION DE GESTION CONTRACTUAL</v>
      </c>
      <c r="V375" s="185" t="str">
        <f t="shared" si="97"/>
        <v>CO-DC</v>
      </c>
      <c r="W375" s="198" t="str">
        <f t="shared" si="98"/>
        <v>Distrito Capital de Bogotá</v>
      </c>
      <c r="X375" s="199" t="s">
        <v>299</v>
      </c>
      <c r="Y375" s="185">
        <v>2427400</v>
      </c>
      <c r="Z375" s="200" t="s">
        <v>92</v>
      </c>
    </row>
    <row r="376" spans="1:26" s="7" customFormat="1" ht="12.75" customHeight="1" x14ac:dyDescent="0.2">
      <c r="A376" s="184" t="s">
        <v>163</v>
      </c>
      <c r="B376" s="185">
        <v>18</v>
      </c>
      <c r="C376" s="186" t="s">
        <v>168</v>
      </c>
      <c r="D376" s="186" t="s">
        <v>169</v>
      </c>
      <c r="E376" s="187"/>
      <c r="F376" s="187">
        <f>200000000-200000000</f>
        <v>0</v>
      </c>
      <c r="G376" s="187"/>
      <c r="H376" s="188" t="s">
        <v>101</v>
      </c>
      <c r="I376" s="189" t="s">
        <v>552</v>
      </c>
      <c r="J376" s="190">
        <v>2</v>
      </c>
      <c r="K376" s="191">
        <v>3</v>
      </c>
      <c r="L376" s="192">
        <v>10</v>
      </c>
      <c r="M376" s="185">
        <f t="shared" si="104"/>
        <v>1</v>
      </c>
      <c r="N376" s="193" t="s">
        <v>36</v>
      </c>
      <c r="O376" s="194" t="s">
        <v>256</v>
      </c>
      <c r="P376" s="195">
        <f t="shared" si="102"/>
        <v>1</v>
      </c>
      <c r="Q376" s="196">
        <f t="shared" si="100"/>
        <v>0</v>
      </c>
      <c r="R376" s="196">
        <f t="shared" si="101"/>
        <v>0</v>
      </c>
      <c r="S376" s="197" t="s">
        <v>217</v>
      </c>
      <c r="T376" s="193">
        <f t="shared" si="103"/>
        <v>0</v>
      </c>
      <c r="U376" s="198" t="str">
        <f t="shared" si="96"/>
        <v>SUBDIRECCION DE GESTION CONTRACTUAL</v>
      </c>
      <c r="V376" s="185" t="str">
        <f t="shared" si="97"/>
        <v>CO-DC</v>
      </c>
      <c r="W376" s="198" t="str">
        <f t="shared" si="98"/>
        <v>Distrito Capital de Bogotá</v>
      </c>
      <c r="X376" s="199" t="s">
        <v>164</v>
      </c>
      <c r="Y376" s="185">
        <v>2427400</v>
      </c>
      <c r="Z376" s="200" t="s">
        <v>165</v>
      </c>
    </row>
    <row r="377" spans="1:26" s="7" customFormat="1" ht="12.75" customHeight="1" x14ac:dyDescent="0.2">
      <c r="A377" s="184" t="s">
        <v>163</v>
      </c>
      <c r="B377" s="185">
        <v>19</v>
      </c>
      <c r="C377" s="186" t="s">
        <v>168</v>
      </c>
      <c r="D377" s="186" t="s">
        <v>169</v>
      </c>
      <c r="E377" s="187"/>
      <c r="F377" s="187">
        <f>15000000-15000000</f>
        <v>0</v>
      </c>
      <c r="G377" s="187"/>
      <c r="H377" s="188" t="s">
        <v>384</v>
      </c>
      <c r="I377" s="189" t="s">
        <v>385</v>
      </c>
      <c r="J377" s="206">
        <v>2</v>
      </c>
      <c r="K377" s="206">
        <v>3</v>
      </c>
      <c r="L377" s="206">
        <v>9</v>
      </c>
      <c r="M377" s="185">
        <f t="shared" si="104"/>
        <v>1</v>
      </c>
      <c r="N377" s="193" t="s">
        <v>43</v>
      </c>
      <c r="O377" s="194" t="s">
        <v>44</v>
      </c>
      <c r="P377" s="195">
        <f t="shared" si="102"/>
        <v>1</v>
      </c>
      <c r="Q377" s="196">
        <f t="shared" si="100"/>
        <v>0</v>
      </c>
      <c r="R377" s="196">
        <f t="shared" si="101"/>
        <v>0</v>
      </c>
      <c r="S377" s="197" t="s">
        <v>217</v>
      </c>
      <c r="T377" s="193">
        <f t="shared" si="103"/>
        <v>0</v>
      </c>
      <c r="U377" s="198" t="str">
        <f t="shared" si="96"/>
        <v>SUBDIRECCION DE GESTION CONTRACTUAL</v>
      </c>
      <c r="V377" s="185" t="str">
        <f t="shared" si="97"/>
        <v>CO-DC</v>
      </c>
      <c r="W377" s="198" t="str">
        <f t="shared" si="98"/>
        <v>Distrito Capital de Bogotá</v>
      </c>
      <c r="X377" s="199" t="s">
        <v>164</v>
      </c>
      <c r="Y377" s="185">
        <v>2427400</v>
      </c>
      <c r="Z377" s="200" t="s">
        <v>165</v>
      </c>
    </row>
    <row r="378" spans="1:26" s="7" customFormat="1" ht="12.75" customHeight="1" x14ac:dyDescent="0.2">
      <c r="A378" s="184" t="s">
        <v>163</v>
      </c>
      <c r="B378" s="185">
        <v>20</v>
      </c>
      <c r="C378" s="186" t="s">
        <v>373</v>
      </c>
      <c r="D378" s="186" t="s">
        <v>756</v>
      </c>
      <c r="E378" s="187"/>
      <c r="F378" s="187">
        <v>200000000</v>
      </c>
      <c r="G378" s="187"/>
      <c r="H378" s="188" t="s">
        <v>757</v>
      </c>
      <c r="I378" s="189" t="s">
        <v>758</v>
      </c>
      <c r="J378" s="206">
        <v>1</v>
      </c>
      <c r="K378" s="206">
        <v>1</v>
      </c>
      <c r="L378" s="206">
        <v>12</v>
      </c>
      <c r="M378" s="185">
        <f t="shared" si="104"/>
        <v>1</v>
      </c>
      <c r="N378" s="193" t="s">
        <v>36</v>
      </c>
      <c r="O378" s="194" t="s">
        <v>256</v>
      </c>
      <c r="P378" s="195">
        <f t="shared" si="102"/>
        <v>1</v>
      </c>
      <c r="Q378" s="196">
        <f t="shared" si="100"/>
        <v>200000000</v>
      </c>
      <c r="R378" s="196">
        <f t="shared" si="101"/>
        <v>200000000</v>
      </c>
      <c r="S378" s="197" t="s">
        <v>217</v>
      </c>
      <c r="T378" s="193">
        <f t="shared" si="103"/>
        <v>0</v>
      </c>
      <c r="U378" s="198" t="str">
        <f t="shared" si="96"/>
        <v>SUBDIRECCION DE GESTION CONTRACTUAL</v>
      </c>
      <c r="V378" s="185" t="str">
        <f t="shared" si="97"/>
        <v>CO-DC</v>
      </c>
      <c r="W378" s="198" t="str">
        <f t="shared" si="98"/>
        <v>Distrito Capital de Bogotá</v>
      </c>
      <c r="X378" s="199" t="s">
        <v>164</v>
      </c>
      <c r="Y378" s="185">
        <v>2427400</v>
      </c>
      <c r="Z378" s="200" t="s">
        <v>165</v>
      </c>
    </row>
    <row r="379" spans="1:26" s="7" customFormat="1" ht="12.75" customHeight="1" x14ac:dyDescent="0.2">
      <c r="A379" s="184" t="s">
        <v>163</v>
      </c>
      <c r="B379" s="185">
        <v>21</v>
      </c>
      <c r="C379" s="186" t="s">
        <v>373</v>
      </c>
      <c r="D379" s="186" t="s">
        <v>756</v>
      </c>
      <c r="E379" s="187"/>
      <c r="F379" s="187">
        <v>15000000</v>
      </c>
      <c r="G379" s="187"/>
      <c r="H379" s="188" t="s">
        <v>384</v>
      </c>
      <c r="I379" s="189" t="s">
        <v>385</v>
      </c>
      <c r="J379" s="206">
        <v>2</v>
      </c>
      <c r="K379" s="206">
        <v>3</v>
      </c>
      <c r="L379" s="206">
        <v>9</v>
      </c>
      <c r="M379" s="185">
        <f t="shared" si="104"/>
        <v>1</v>
      </c>
      <c r="N379" s="193" t="s">
        <v>43</v>
      </c>
      <c r="O379" s="194" t="s">
        <v>44</v>
      </c>
      <c r="P379" s="195">
        <f t="shared" si="102"/>
        <v>1</v>
      </c>
      <c r="Q379" s="196">
        <f t="shared" si="100"/>
        <v>15000000</v>
      </c>
      <c r="R379" s="196">
        <f t="shared" si="101"/>
        <v>15000000</v>
      </c>
      <c r="S379" s="197" t="s">
        <v>217</v>
      </c>
      <c r="T379" s="193">
        <f t="shared" si="103"/>
        <v>0</v>
      </c>
      <c r="U379" s="198" t="str">
        <f t="shared" si="96"/>
        <v>SUBDIRECCION DE GESTION CONTRACTUAL</v>
      </c>
      <c r="V379" s="185" t="str">
        <f t="shared" si="97"/>
        <v>CO-DC</v>
      </c>
      <c r="W379" s="198" t="str">
        <f t="shared" si="98"/>
        <v>Distrito Capital de Bogotá</v>
      </c>
      <c r="X379" s="199" t="s">
        <v>164</v>
      </c>
      <c r="Y379" s="185">
        <v>2427400</v>
      </c>
      <c r="Z379" s="200" t="s">
        <v>165</v>
      </c>
    </row>
    <row r="380" spans="1:26" ht="15" customHeight="1" x14ac:dyDescent="0.25">
      <c r="A380" s="184" t="s">
        <v>163</v>
      </c>
      <c r="B380" s="185">
        <v>22</v>
      </c>
      <c r="C380" s="186" t="s">
        <v>373</v>
      </c>
      <c r="D380" s="186" t="s">
        <v>756</v>
      </c>
      <c r="E380" s="187"/>
      <c r="F380" s="187">
        <v>100000000</v>
      </c>
      <c r="G380" s="187"/>
      <c r="H380" s="188" t="s">
        <v>101</v>
      </c>
      <c r="I380" s="189" t="s">
        <v>758</v>
      </c>
      <c r="J380" s="206">
        <v>7</v>
      </c>
      <c r="K380" s="206">
        <v>7</v>
      </c>
      <c r="L380" s="206">
        <v>6</v>
      </c>
      <c r="M380" s="185">
        <v>1</v>
      </c>
      <c r="N380" s="193" t="s">
        <v>36</v>
      </c>
      <c r="O380" s="194" t="s">
        <v>256</v>
      </c>
      <c r="P380" s="195">
        <f t="shared" si="102"/>
        <v>1</v>
      </c>
      <c r="Q380" s="196">
        <f t="shared" si="100"/>
        <v>100000000</v>
      </c>
      <c r="R380" s="196">
        <f t="shared" si="101"/>
        <v>100000000</v>
      </c>
      <c r="S380" s="197" t="s">
        <v>217</v>
      </c>
      <c r="T380" s="193">
        <f t="shared" si="103"/>
        <v>0</v>
      </c>
      <c r="U380" s="198" t="str">
        <f t="shared" si="96"/>
        <v>SUBDIRECCION DE GESTION CONTRACTUAL</v>
      </c>
      <c r="V380" s="185" t="str">
        <f t="shared" si="97"/>
        <v>CO-DC</v>
      </c>
      <c r="W380" s="198" t="str">
        <f t="shared" si="98"/>
        <v>Distrito Capital de Bogotá</v>
      </c>
      <c r="X380" s="199" t="s">
        <v>1010</v>
      </c>
      <c r="Y380" s="185">
        <v>2427400</v>
      </c>
      <c r="Z380" s="125" t="s">
        <v>1011</v>
      </c>
    </row>
    <row r="381" spans="1:26" s="7" customFormat="1" ht="12.75" customHeight="1" x14ac:dyDescent="0.25">
      <c r="A381" s="184" t="s">
        <v>104</v>
      </c>
      <c r="B381" s="185">
        <v>1</v>
      </c>
      <c r="C381" s="186" t="s">
        <v>105</v>
      </c>
      <c r="D381" s="186" t="s">
        <v>87</v>
      </c>
      <c r="E381" s="187"/>
      <c r="F381" s="187">
        <v>162469701</v>
      </c>
      <c r="G381" s="187"/>
      <c r="H381" s="188" t="s">
        <v>713</v>
      </c>
      <c r="I381" s="189" t="s">
        <v>386</v>
      </c>
      <c r="J381" s="206">
        <v>2</v>
      </c>
      <c r="K381" s="206">
        <v>3</v>
      </c>
      <c r="L381" s="206">
        <v>9</v>
      </c>
      <c r="M381" s="185">
        <f t="shared" ref="M381:M404" si="105">IF(ISBLANK(J381),"",1)</f>
        <v>1</v>
      </c>
      <c r="N381" s="193" t="s">
        <v>36</v>
      </c>
      <c r="O381" s="194" t="s">
        <v>256</v>
      </c>
      <c r="P381" s="195">
        <f t="shared" si="102"/>
        <v>1</v>
      </c>
      <c r="Q381" s="196">
        <f t="shared" si="100"/>
        <v>162469701</v>
      </c>
      <c r="R381" s="196">
        <f t="shared" si="101"/>
        <v>162469701</v>
      </c>
      <c r="S381" s="197" t="s">
        <v>217</v>
      </c>
      <c r="T381" s="193">
        <f t="shared" si="103"/>
        <v>0</v>
      </c>
      <c r="U381" s="198" t="str">
        <f t="shared" si="96"/>
        <v>SUBDIRECCION DE GESTION CONTRACTUAL</v>
      </c>
      <c r="V381" s="185" t="str">
        <f t="shared" si="97"/>
        <v>CO-DC</v>
      </c>
      <c r="W381" s="198" t="str">
        <f t="shared" si="98"/>
        <v>Distrito Capital de Bogotá</v>
      </c>
      <c r="X381" s="199" t="s">
        <v>591</v>
      </c>
      <c r="Y381" s="185">
        <v>2427400</v>
      </c>
      <c r="Z381" s="125" t="s">
        <v>585</v>
      </c>
    </row>
    <row r="382" spans="1:26" s="7" customFormat="1" ht="12.75" customHeight="1" x14ac:dyDescent="0.25">
      <c r="A382" s="184" t="s">
        <v>104</v>
      </c>
      <c r="B382" s="185">
        <v>2</v>
      </c>
      <c r="C382" s="186" t="s">
        <v>105</v>
      </c>
      <c r="D382" s="186" t="s">
        <v>87</v>
      </c>
      <c r="E382" s="187"/>
      <c r="F382" s="187">
        <v>177437126</v>
      </c>
      <c r="G382" s="187"/>
      <c r="H382" s="188" t="s">
        <v>713</v>
      </c>
      <c r="I382" s="189" t="s">
        <v>387</v>
      </c>
      <c r="J382" s="206">
        <v>2</v>
      </c>
      <c r="K382" s="206">
        <v>3</v>
      </c>
      <c r="L382" s="206">
        <v>9</v>
      </c>
      <c r="M382" s="185">
        <f t="shared" si="105"/>
        <v>1</v>
      </c>
      <c r="N382" s="193" t="s">
        <v>36</v>
      </c>
      <c r="O382" s="194" t="s">
        <v>256</v>
      </c>
      <c r="P382" s="195">
        <f t="shared" si="102"/>
        <v>1</v>
      </c>
      <c r="Q382" s="196">
        <f t="shared" si="100"/>
        <v>177437126</v>
      </c>
      <c r="R382" s="196">
        <f t="shared" si="101"/>
        <v>177437126</v>
      </c>
      <c r="S382" s="197" t="s">
        <v>217</v>
      </c>
      <c r="T382" s="193">
        <f t="shared" si="103"/>
        <v>0</v>
      </c>
      <c r="U382" s="198" t="str">
        <f t="shared" si="96"/>
        <v>SUBDIRECCION DE GESTION CONTRACTUAL</v>
      </c>
      <c r="V382" s="185" t="str">
        <f t="shared" si="97"/>
        <v>CO-DC</v>
      </c>
      <c r="W382" s="198" t="str">
        <f t="shared" si="98"/>
        <v>Distrito Capital de Bogotá</v>
      </c>
      <c r="X382" s="199" t="s">
        <v>591</v>
      </c>
      <c r="Y382" s="185">
        <v>2427400</v>
      </c>
      <c r="Z382" s="125" t="s">
        <v>585</v>
      </c>
    </row>
    <row r="383" spans="1:26" s="7" customFormat="1" ht="12.75" customHeight="1" x14ac:dyDescent="0.25">
      <c r="A383" s="184" t="s">
        <v>104</v>
      </c>
      <c r="B383" s="185">
        <v>3</v>
      </c>
      <c r="C383" s="186" t="s">
        <v>105</v>
      </c>
      <c r="D383" s="186" t="s">
        <v>87</v>
      </c>
      <c r="E383" s="187"/>
      <c r="F383" s="187">
        <v>438490269</v>
      </c>
      <c r="G383" s="187"/>
      <c r="H383" s="188" t="s">
        <v>713</v>
      </c>
      <c r="I383" s="189" t="s">
        <v>388</v>
      </c>
      <c r="J383" s="206">
        <v>2</v>
      </c>
      <c r="K383" s="206">
        <v>3</v>
      </c>
      <c r="L383" s="206">
        <v>9</v>
      </c>
      <c r="M383" s="185">
        <f t="shared" si="105"/>
        <v>1</v>
      </c>
      <c r="N383" s="193" t="s">
        <v>36</v>
      </c>
      <c r="O383" s="194" t="s">
        <v>256</v>
      </c>
      <c r="P383" s="195">
        <f t="shared" si="102"/>
        <v>1</v>
      </c>
      <c r="Q383" s="196">
        <f t="shared" si="100"/>
        <v>438490269</v>
      </c>
      <c r="R383" s="196">
        <f t="shared" si="101"/>
        <v>438490269</v>
      </c>
      <c r="S383" s="197" t="s">
        <v>217</v>
      </c>
      <c r="T383" s="193">
        <f t="shared" si="103"/>
        <v>0</v>
      </c>
      <c r="U383" s="198" t="str">
        <f t="shared" si="96"/>
        <v>SUBDIRECCION DE GESTION CONTRACTUAL</v>
      </c>
      <c r="V383" s="185" t="str">
        <f t="shared" si="97"/>
        <v>CO-DC</v>
      </c>
      <c r="W383" s="198" t="str">
        <f t="shared" si="98"/>
        <v>Distrito Capital de Bogotá</v>
      </c>
      <c r="X383" s="199" t="s">
        <v>591</v>
      </c>
      <c r="Y383" s="185">
        <v>2427400</v>
      </c>
      <c r="Z383" s="125" t="s">
        <v>585</v>
      </c>
    </row>
    <row r="384" spans="1:26" s="7" customFormat="1" ht="12.75" customHeight="1" x14ac:dyDescent="0.25">
      <c r="A384" s="184" t="s">
        <v>104</v>
      </c>
      <c r="B384" s="185">
        <v>4</v>
      </c>
      <c r="C384" s="186" t="s">
        <v>105</v>
      </c>
      <c r="D384" s="186" t="s">
        <v>87</v>
      </c>
      <c r="E384" s="187"/>
      <c r="F384" s="187">
        <v>1533271892</v>
      </c>
      <c r="G384" s="187"/>
      <c r="H384" s="188">
        <v>80111600</v>
      </c>
      <c r="I384" s="189" t="s">
        <v>389</v>
      </c>
      <c r="J384" s="206">
        <v>1</v>
      </c>
      <c r="K384" s="206">
        <v>1</v>
      </c>
      <c r="L384" s="206">
        <v>12</v>
      </c>
      <c r="M384" s="185">
        <f t="shared" si="105"/>
        <v>1</v>
      </c>
      <c r="N384" s="193" t="s">
        <v>210</v>
      </c>
      <c r="O384" s="194" t="s">
        <v>264</v>
      </c>
      <c r="P384" s="195">
        <f t="shared" si="102"/>
        <v>1</v>
      </c>
      <c r="Q384" s="196">
        <f t="shared" si="100"/>
        <v>1533271892</v>
      </c>
      <c r="R384" s="196">
        <f t="shared" si="101"/>
        <v>1533271892</v>
      </c>
      <c r="S384" s="197" t="s">
        <v>217</v>
      </c>
      <c r="T384" s="193">
        <f t="shared" si="103"/>
        <v>0</v>
      </c>
      <c r="U384" s="198" t="str">
        <f t="shared" si="96"/>
        <v>SUBDIRECCION DE GESTION CONTRACTUAL</v>
      </c>
      <c r="V384" s="185" t="str">
        <f t="shared" si="97"/>
        <v>CO-DC</v>
      </c>
      <c r="W384" s="198" t="str">
        <f t="shared" si="98"/>
        <v>Distrito Capital de Bogotá</v>
      </c>
      <c r="X384" s="199" t="s">
        <v>591</v>
      </c>
      <c r="Y384" s="185">
        <v>2427400</v>
      </c>
      <c r="Z384" s="125" t="s">
        <v>585</v>
      </c>
    </row>
    <row r="385" spans="1:85" s="7" customFormat="1" ht="12.75" customHeight="1" x14ac:dyDescent="0.2">
      <c r="A385" s="184" t="s">
        <v>104</v>
      </c>
      <c r="B385" s="185">
        <v>5</v>
      </c>
      <c r="C385" s="186" t="s">
        <v>105</v>
      </c>
      <c r="D385" s="186" t="s">
        <v>87</v>
      </c>
      <c r="E385" s="187"/>
      <c r="F385" s="187">
        <v>200000000</v>
      </c>
      <c r="G385" s="187"/>
      <c r="H385" s="188" t="s">
        <v>42</v>
      </c>
      <c r="I385" s="189" t="s">
        <v>390</v>
      </c>
      <c r="J385" s="190">
        <v>3</v>
      </c>
      <c r="K385" s="191">
        <v>4</v>
      </c>
      <c r="L385" s="192">
        <v>9</v>
      </c>
      <c r="M385" s="185">
        <f t="shared" si="105"/>
        <v>1</v>
      </c>
      <c r="N385" s="193" t="s">
        <v>61</v>
      </c>
      <c r="O385" s="194" t="s">
        <v>902</v>
      </c>
      <c r="P385" s="195">
        <f t="shared" si="102"/>
        <v>1</v>
      </c>
      <c r="Q385" s="196">
        <f t="shared" si="100"/>
        <v>200000000</v>
      </c>
      <c r="R385" s="196">
        <f t="shared" si="101"/>
        <v>200000000</v>
      </c>
      <c r="S385" s="197" t="s">
        <v>217</v>
      </c>
      <c r="T385" s="193">
        <f t="shared" si="103"/>
        <v>0</v>
      </c>
      <c r="U385" s="198" t="str">
        <f t="shared" si="96"/>
        <v>SUBDIRECCION DE GESTION CONTRACTUAL</v>
      </c>
      <c r="V385" s="185" t="str">
        <f t="shared" si="97"/>
        <v>CO-DC</v>
      </c>
      <c r="W385" s="198" t="str">
        <f t="shared" si="98"/>
        <v>Distrito Capital de Bogotá</v>
      </c>
      <c r="X385" s="199" t="s">
        <v>321</v>
      </c>
      <c r="Y385" s="185">
        <v>2427400</v>
      </c>
      <c r="Z385" s="200" t="s">
        <v>75</v>
      </c>
    </row>
    <row r="386" spans="1:85" s="7" customFormat="1" ht="12.75" customHeight="1" x14ac:dyDescent="0.2">
      <c r="A386" s="184" t="s">
        <v>104</v>
      </c>
      <c r="B386" s="185">
        <v>6</v>
      </c>
      <c r="C386" s="186" t="s">
        <v>105</v>
      </c>
      <c r="D386" s="186" t="s">
        <v>87</v>
      </c>
      <c r="E386" s="187"/>
      <c r="F386" s="187">
        <v>15000000</v>
      </c>
      <c r="G386" s="187"/>
      <c r="H386" s="188" t="s">
        <v>51</v>
      </c>
      <c r="I386" s="189" t="s">
        <v>391</v>
      </c>
      <c r="J386" s="190">
        <v>4</v>
      </c>
      <c r="K386" s="191">
        <v>6</v>
      </c>
      <c r="L386" s="192">
        <v>1</v>
      </c>
      <c r="M386" s="185">
        <f t="shared" si="105"/>
        <v>1</v>
      </c>
      <c r="N386" s="193" t="s">
        <v>43</v>
      </c>
      <c r="O386" s="194" t="s">
        <v>44</v>
      </c>
      <c r="P386" s="195">
        <f t="shared" si="102"/>
        <v>1</v>
      </c>
      <c r="Q386" s="196">
        <f t="shared" si="100"/>
        <v>15000000</v>
      </c>
      <c r="R386" s="196">
        <f t="shared" si="101"/>
        <v>15000000</v>
      </c>
      <c r="S386" s="197" t="s">
        <v>217</v>
      </c>
      <c r="T386" s="193">
        <f t="shared" si="103"/>
        <v>0</v>
      </c>
      <c r="U386" s="198" t="str">
        <f t="shared" si="96"/>
        <v>SUBDIRECCION DE GESTION CONTRACTUAL</v>
      </c>
      <c r="V386" s="185" t="str">
        <f t="shared" si="97"/>
        <v>CO-DC</v>
      </c>
      <c r="W386" s="198" t="str">
        <f t="shared" si="98"/>
        <v>Distrito Capital de Bogotá</v>
      </c>
      <c r="X386" s="199" t="s">
        <v>73</v>
      </c>
      <c r="Y386" s="185">
        <v>2427400</v>
      </c>
      <c r="Z386" s="200" t="s">
        <v>74</v>
      </c>
    </row>
    <row r="387" spans="1:85" s="7" customFormat="1" ht="12.75" customHeight="1" x14ac:dyDescent="0.25">
      <c r="A387" s="184" t="s">
        <v>104</v>
      </c>
      <c r="B387" s="185">
        <v>7</v>
      </c>
      <c r="C387" s="186" t="s">
        <v>105</v>
      </c>
      <c r="D387" s="186" t="s">
        <v>87</v>
      </c>
      <c r="E387" s="187"/>
      <c r="F387" s="187">
        <v>154400000</v>
      </c>
      <c r="G387" s="187"/>
      <c r="H387" s="188" t="s">
        <v>101</v>
      </c>
      <c r="I387" s="189" t="s">
        <v>553</v>
      </c>
      <c r="J387" s="190">
        <v>2</v>
      </c>
      <c r="K387" s="191">
        <v>3</v>
      </c>
      <c r="L387" s="192">
        <v>10</v>
      </c>
      <c r="M387" s="185">
        <f t="shared" si="105"/>
        <v>1</v>
      </c>
      <c r="N387" s="193" t="s">
        <v>36</v>
      </c>
      <c r="O387" s="194" t="s">
        <v>256</v>
      </c>
      <c r="P387" s="195">
        <f t="shared" si="102"/>
        <v>1</v>
      </c>
      <c r="Q387" s="196">
        <f t="shared" si="100"/>
        <v>154400000</v>
      </c>
      <c r="R387" s="196">
        <f t="shared" si="101"/>
        <v>154400000</v>
      </c>
      <c r="S387" s="197" t="s">
        <v>218</v>
      </c>
      <c r="T387" s="193">
        <f t="shared" si="103"/>
        <v>3</v>
      </c>
      <c r="U387" s="198" t="str">
        <f t="shared" si="96"/>
        <v>SUBDIRECCION DE GESTION CONTRACTUAL</v>
      </c>
      <c r="V387" s="185" t="str">
        <f t="shared" si="97"/>
        <v>CO-DC</v>
      </c>
      <c r="W387" s="198" t="str">
        <f t="shared" si="98"/>
        <v>Distrito Capital de Bogotá</v>
      </c>
      <c r="X387" s="199" t="s">
        <v>591</v>
      </c>
      <c r="Y387" s="185">
        <v>2427400</v>
      </c>
      <c r="Z387" s="125" t="s">
        <v>585</v>
      </c>
    </row>
    <row r="388" spans="1:85" s="7" customFormat="1" ht="12.75" customHeight="1" x14ac:dyDescent="0.2">
      <c r="A388" s="184" t="s">
        <v>104</v>
      </c>
      <c r="B388" s="185">
        <v>8</v>
      </c>
      <c r="C388" s="186" t="s">
        <v>105</v>
      </c>
      <c r="D388" s="186" t="s">
        <v>87</v>
      </c>
      <c r="E388" s="187"/>
      <c r="F388" s="187">
        <f>25000000-25000000</f>
        <v>0</v>
      </c>
      <c r="G388" s="187"/>
      <c r="H388" s="188" t="s">
        <v>230</v>
      </c>
      <c r="I388" s="189" t="s">
        <v>563</v>
      </c>
      <c r="J388" s="206">
        <v>3</v>
      </c>
      <c r="K388" s="206">
        <v>4</v>
      </c>
      <c r="L388" s="206">
        <v>8</v>
      </c>
      <c r="M388" s="185">
        <f t="shared" si="105"/>
        <v>1</v>
      </c>
      <c r="N388" s="193" t="s">
        <v>53</v>
      </c>
      <c r="O388" s="194" t="s">
        <v>54</v>
      </c>
      <c r="P388" s="195">
        <f t="shared" si="102"/>
        <v>1</v>
      </c>
      <c r="Q388" s="196">
        <f t="shared" si="100"/>
        <v>0</v>
      </c>
      <c r="R388" s="196">
        <f t="shared" si="101"/>
        <v>0</v>
      </c>
      <c r="S388" s="197" t="s">
        <v>217</v>
      </c>
      <c r="T388" s="193">
        <f t="shared" si="103"/>
        <v>0</v>
      </c>
      <c r="U388" s="198" t="str">
        <f t="shared" si="96"/>
        <v>SUBDIRECCION DE GESTION CONTRACTUAL</v>
      </c>
      <c r="V388" s="185" t="str">
        <f t="shared" si="97"/>
        <v>CO-DC</v>
      </c>
      <c r="W388" s="198" t="str">
        <f t="shared" si="98"/>
        <v>Distrito Capital de Bogotá</v>
      </c>
      <c r="X388" s="199" t="s">
        <v>76</v>
      </c>
      <c r="Y388" s="185">
        <v>2427400</v>
      </c>
      <c r="Z388" s="200" t="s">
        <v>77</v>
      </c>
    </row>
    <row r="389" spans="1:85" s="7" customFormat="1" ht="12.75" customHeight="1" x14ac:dyDescent="0.2">
      <c r="A389" s="184" t="s">
        <v>104</v>
      </c>
      <c r="B389" s="185">
        <v>9</v>
      </c>
      <c r="C389" s="186" t="s">
        <v>105</v>
      </c>
      <c r="D389" s="186" t="s">
        <v>87</v>
      </c>
      <c r="E389" s="187"/>
      <c r="F389" s="187">
        <f>50000000+25000000</f>
        <v>75000000</v>
      </c>
      <c r="G389" s="187"/>
      <c r="H389" s="188" t="s">
        <v>225</v>
      </c>
      <c r="I389" s="189" t="s">
        <v>392</v>
      </c>
      <c r="J389" s="206">
        <v>6</v>
      </c>
      <c r="K389" s="206">
        <v>8</v>
      </c>
      <c r="L389" s="206">
        <v>3</v>
      </c>
      <c r="M389" s="185">
        <f t="shared" si="105"/>
        <v>1</v>
      </c>
      <c r="N389" s="193" t="s">
        <v>43</v>
      </c>
      <c r="O389" s="194" t="s">
        <v>44</v>
      </c>
      <c r="P389" s="195">
        <f t="shared" si="102"/>
        <v>1</v>
      </c>
      <c r="Q389" s="196">
        <f t="shared" si="100"/>
        <v>75000000</v>
      </c>
      <c r="R389" s="196">
        <f t="shared" si="101"/>
        <v>75000000</v>
      </c>
      <c r="S389" s="197" t="s">
        <v>217</v>
      </c>
      <c r="T389" s="193">
        <f t="shared" si="103"/>
        <v>0</v>
      </c>
      <c r="U389" s="198" t="str">
        <f t="shared" si="96"/>
        <v>SUBDIRECCION DE GESTION CONTRACTUAL</v>
      </c>
      <c r="V389" s="185" t="str">
        <f t="shared" si="97"/>
        <v>CO-DC</v>
      </c>
      <c r="W389" s="198" t="str">
        <f t="shared" si="98"/>
        <v>Distrito Capital de Bogotá</v>
      </c>
      <c r="X389" s="199" t="s">
        <v>807</v>
      </c>
      <c r="Y389" s="185">
        <v>2427400</v>
      </c>
      <c r="Z389" s="200" t="s">
        <v>808</v>
      </c>
    </row>
    <row r="390" spans="1:85" s="7" customFormat="1" ht="12.75" customHeight="1" x14ac:dyDescent="0.25">
      <c r="A390" s="184" t="s">
        <v>104</v>
      </c>
      <c r="B390" s="185">
        <v>10</v>
      </c>
      <c r="C390" s="186" t="s">
        <v>107</v>
      </c>
      <c r="D390" s="186" t="s">
        <v>106</v>
      </c>
      <c r="E390" s="187"/>
      <c r="F390" s="187">
        <v>365899947</v>
      </c>
      <c r="G390" s="187"/>
      <c r="H390" s="188" t="s">
        <v>713</v>
      </c>
      <c r="I390" s="189" t="s">
        <v>393</v>
      </c>
      <c r="J390" s="206">
        <v>2</v>
      </c>
      <c r="K390" s="206">
        <v>3</v>
      </c>
      <c r="L390" s="206">
        <v>9</v>
      </c>
      <c r="M390" s="185">
        <f t="shared" si="105"/>
        <v>1</v>
      </c>
      <c r="N390" s="193" t="s">
        <v>36</v>
      </c>
      <c r="O390" s="194" t="s">
        <v>256</v>
      </c>
      <c r="P390" s="195">
        <f t="shared" si="102"/>
        <v>1</v>
      </c>
      <c r="Q390" s="196">
        <f t="shared" ref="Q390:Q421" si="106">+E390+F390+G390</f>
        <v>365899947</v>
      </c>
      <c r="R390" s="196">
        <f t="shared" ref="R390:R421" si="107">+F390</f>
        <v>365899947</v>
      </c>
      <c r="S390" s="197" t="s">
        <v>217</v>
      </c>
      <c r="T390" s="193">
        <f t="shared" si="103"/>
        <v>0</v>
      </c>
      <c r="U390" s="198" t="str">
        <f t="shared" si="96"/>
        <v>SUBDIRECCION DE GESTION CONTRACTUAL</v>
      </c>
      <c r="V390" s="185" t="str">
        <f t="shared" si="97"/>
        <v>CO-DC</v>
      </c>
      <c r="W390" s="198" t="str">
        <f t="shared" si="98"/>
        <v>Distrito Capital de Bogotá</v>
      </c>
      <c r="X390" s="199" t="s">
        <v>591</v>
      </c>
      <c r="Y390" s="185">
        <v>2427400</v>
      </c>
      <c r="Z390" s="125" t="s">
        <v>585</v>
      </c>
    </row>
    <row r="391" spans="1:85" s="7" customFormat="1" ht="12.75" customHeight="1" x14ac:dyDescent="0.25">
      <c r="A391" s="184" t="s">
        <v>104</v>
      </c>
      <c r="B391" s="185">
        <v>11</v>
      </c>
      <c r="C391" s="186" t="s">
        <v>107</v>
      </c>
      <c r="D391" s="186" t="s">
        <v>106</v>
      </c>
      <c r="E391" s="187"/>
      <c r="F391" s="187">
        <v>404480842</v>
      </c>
      <c r="G391" s="187"/>
      <c r="H391" s="188" t="s">
        <v>713</v>
      </c>
      <c r="I391" s="189" t="s">
        <v>394</v>
      </c>
      <c r="J391" s="206">
        <v>2</v>
      </c>
      <c r="K391" s="206">
        <v>3</v>
      </c>
      <c r="L391" s="206">
        <v>9</v>
      </c>
      <c r="M391" s="185">
        <f t="shared" si="105"/>
        <v>1</v>
      </c>
      <c r="N391" s="193" t="s">
        <v>36</v>
      </c>
      <c r="O391" s="194" t="s">
        <v>256</v>
      </c>
      <c r="P391" s="195">
        <f t="shared" si="102"/>
        <v>1</v>
      </c>
      <c r="Q391" s="196">
        <f t="shared" si="106"/>
        <v>404480842</v>
      </c>
      <c r="R391" s="196">
        <f t="shared" si="107"/>
        <v>404480842</v>
      </c>
      <c r="S391" s="197" t="s">
        <v>217</v>
      </c>
      <c r="T391" s="193">
        <f t="shared" si="103"/>
        <v>0</v>
      </c>
      <c r="U391" s="198" t="str">
        <f t="shared" si="96"/>
        <v>SUBDIRECCION DE GESTION CONTRACTUAL</v>
      </c>
      <c r="V391" s="185" t="str">
        <f t="shared" si="97"/>
        <v>CO-DC</v>
      </c>
      <c r="W391" s="198" t="str">
        <f t="shared" si="98"/>
        <v>Distrito Capital de Bogotá</v>
      </c>
      <c r="X391" s="199" t="s">
        <v>591</v>
      </c>
      <c r="Y391" s="185">
        <v>2427400</v>
      </c>
      <c r="Z391" s="125" t="s">
        <v>585</v>
      </c>
    </row>
    <row r="392" spans="1:85" s="7" customFormat="1" ht="12.75" customHeight="1" x14ac:dyDescent="0.25">
      <c r="A392" s="184" t="s">
        <v>104</v>
      </c>
      <c r="B392" s="185">
        <v>12</v>
      </c>
      <c r="C392" s="186" t="s">
        <v>107</v>
      </c>
      <c r="D392" s="186" t="s">
        <v>87</v>
      </c>
      <c r="E392" s="187"/>
      <c r="F392" s="187">
        <v>87602275</v>
      </c>
      <c r="G392" s="187"/>
      <c r="H392" s="188" t="s">
        <v>713</v>
      </c>
      <c r="I392" s="189" t="s">
        <v>395</v>
      </c>
      <c r="J392" s="206">
        <v>2</v>
      </c>
      <c r="K392" s="206">
        <v>3</v>
      </c>
      <c r="L392" s="206">
        <v>9</v>
      </c>
      <c r="M392" s="185">
        <f t="shared" si="105"/>
        <v>1</v>
      </c>
      <c r="N392" s="193" t="s">
        <v>36</v>
      </c>
      <c r="O392" s="194" t="s">
        <v>256</v>
      </c>
      <c r="P392" s="195">
        <f t="shared" si="102"/>
        <v>1</v>
      </c>
      <c r="Q392" s="196">
        <f t="shared" si="106"/>
        <v>87602275</v>
      </c>
      <c r="R392" s="196">
        <f t="shared" si="107"/>
        <v>87602275</v>
      </c>
      <c r="S392" s="197" t="s">
        <v>217</v>
      </c>
      <c r="T392" s="193">
        <f t="shared" si="103"/>
        <v>0</v>
      </c>
      <c r="U392" s="198" t="str">
        <f t="shared" si="96"/>
        <v>SUBDIRECCION DE GESTION CONTRACTUAL</v>
      </c>
      <c r="V392" s="185" t="str">
        <f t="shared" si="97"/>
        <v>CO-DC</v>
      </c>
      <c r="W392" s="198" t="str">
        <f t="shared" si="98"/>
        <v>Distrito Capital de Bogotá</v>
      </c>
      <c r="X392" s="199" t="s">
        <v>591</v>
      </c>
      <c r="Y392" s="185">
        <v>2427400</v>
      </c>
      <c r="Z392" s="125" t="s">
        <v>585</v>
      </c>
    </row>
    <row r="393" spans="1:85" s="7" customFormat="1" ht="12.75" customHeight="1" x14ac:dyDescent="0.25">
      <c r="A393" s="184" t="s">
        <v>104</v>
      </c>
      <c r="B393" s="185">
        <v>13</v>
      </c>
      <c r="C393" s="186" t="s">
        <v>107</v>
      </c>
      <c r="D393" s="186" t="s">
        <v>106</v>
      </c>
      <c r="E393" s="187"/>
      <c r="F393" s="187">
        <v>191609926</v>
      </c>
      <c r="G393" s="187"/>
      <c r="H393" s="188" t="s">
        <v>713</v>
      </c>
      <c r="I393" s="189" t="s">
        <v>396</v>
      </c>
      <c r="J393" s="206">
        <v>2</v>
      </c>
      <c r="K393" s="206">
        <v>3</v>
      </c>
      <c r="L393" s="206">
        <v>9</v>
      </c>
      <c r="M393" s="185">
        <f t="shared" si="105"/>
        <v>1</v>
      </c>
      <c r="N393" s="193" t="s">
        <v>36</v>
      </c>
      <c r="O393" s="194" t="s">
        <v>256</v>
      </c>
      <c r="P393" s="195">
        <f t="shared" si="102"/>
        <v>1</v>
      </c>
      <c r="Q393" s="196">
        <f t="shared" si="106"/>
        <v>191609926</v>
      </c>
      <c r="R393" s="196">
        <f t="shared" si="107"/>
        <v>191609926</v>
      </c>
      <c r="S393" s="197" t="s">
        <v>217</v>
      </c>
      <c r="T393" s="193">
        <f t="shared" si="103"/>
        <v>0</v>
      </c>
      <c r="U393" s="198" t="str">
        <f t="shared" si="96"/>
        <v>SUBDIRECCION DE GESTION CONTRACTUAL</v>
      </c>
      <c r="V393" s="185" t="str">
        <f t="shared" si="97"/>
        <v>CO-DC</v>
      </c>
      <c r="W393" s="198" t="str">
        <f t="shared" si="98"/>
        <v>Distrito Capital de Bogotá</v>
      </c>
      <c r="X393" s="199" t="s">
        <v>591</v>
      </c>
      <c r="Y393" s="185">
        <v>2427400</v>
      </c>
      <c r="Z393" s="125" t="s">
        <v>585</v>
      </c>
    </row>
    <row r="394" spans="1:85" s="7" customFormat="1" ht="12.75" customHeight="1" x14ac:dyDescent="0.25">
      <c r="A394" s="184" t="s">
        <v>104</v>
      </c>
      <c r="B394" s="185">
        <v>14</v>
      </c>
      <c r="C394" s="186" t="s">
        <v>107</v>
      </c>
      <c r="D394" s="186" t="s">
        <v>87</v>
      </c>
      <c r="E394" s="187"/>
      <c r="F394" s="187">
        <v>300000000</v>
      </c>
      <c r="G394" s="187"/>
      <c r="H394" s="188" t="s">
        <v>713</v>
      </c>
      <c r="I394" s="189" t="s">
        <v>397</v>
      </c>
      <c r="J394" s="206">
        <v>2</v>
      </c>
      <c r="K394" s="206">
        <v>3</v>
      </c>
      <c r="L394" s="206">
        <v>9</v>
      </c>
      <c r="M394" s="185">
        <f t="shared" si="105"/>
        <v>1</v>
      </c>
      <c r="N394" s="193" t="s">
        <v>36</v>
      </c>
      <c r="O394" s="194" t="s">
        <v>256</v>
      </c>
      <c r="P394" s="195">
        <f t="shared" si="102"/>
        <v>1</v>
      </c>
      <c r="Q394" s="196">
        <f t="shared" si="106"/>
        <v>300000000</v>
      </c>
      <c r="R394" s="196">
        <f t="shared" si="107"/>
        <v>300000000</v>
      </c>
      <c r="S394" s="197" t="s">
        <v>217</v>
      </c>
      <c r="T394" s="193">
        <f t="shared" si="103"/>
        <v>0</v>
      </c>
      <c r="U394" s="198" t="str">
        <f t="shared" si="96"/>
        <v>SUBDIRECCION DE GESTION CONTRACTUAL</v>
      </c>
      <c r="V394" s="185" t="str">
        <f t="shared" si="97"/>
        <v>CO-DC</v>
      </c>
      <c r="W394" s="198" t="str">
        <f t="shared" si="98"/>
        <v>Distrito Capital de Bogotá</v>
      </c>
      <c r="X394" s="199" t="s">
        <v>591</v>
      </c>
      <c r="Y394" s="185">
        <v>2427400</v>
      </c>
      <c r="Z394" s="125" t="s">
        <v>585</v>
      </c>
    </row>
    <row r="395" spans="1:85" s="7" customFormat="1" ht="12.75" customHeight="1" x14ac:dyDescent="0.25">
      <c r="A395" s="184" t="s">
        <v>104</v>
      </c>
      <c r="B395" s="185">
        <v>15</v>
      </c>
      <c r="C395" s="186" t="s">
        <v>107</v>
      </c>
      <c r="D395" s="186" t="s">
        <v>87</v>
      </c>
      <c r="E395" s="187"/>
      <c r="F395" s="187">
        <v>742800000</v>
      </c>
      <c r="G395" s="187"/>
      <c r="H395" s="188" t="s">
        <v>713</v>
      </c>
      <c r="I395" s="189" t="s">
        <v>398</v>
      </c>
      <c r="J395" s="206">
        <v>2</v>
      </c>
      <c r="K395" s="206">
        <v>3</v>
      </c>
      <c r="L395" s="206">
        <v>9</v>
      </c>
      <c r="M395" s="185">
        <f t="shared" si="105"/>
        <v>1</v>
      </c>
      <c r="N395" s="193" t="s">
        <v>36</v>
      </c>
      <c r="O395" s="194" t="s">
        <v>256</v>
      </c>
      <c r="P395" s="195">
        <f t="shared" si="102"/>
        <v>1</v>
      </c>
      <c r="Q395" s="196">
        <f t="shared" si="106"/>
        <v>742800000</v>
      </c>
      <c r="R395" s="196">
        <f t="shared" si="107"/>
        <v>742800000</v>
      </c>
      <c r="S395" s="197" t="s">
        <v>217</v>
      </c>
      <c r="T395" s="193">
        <f t="shared" si="103"/>
        <v>0</v>
      </c>
      <c r="U395" s="198" t="str">
        <f t="shared" ref="U395:U458" si="108">IF(ISBLANK(N395),"","SUBDIRECCION DE GESTION CONTRACTUAL")</f>
        <v>SUBDIRECCION DE GESTION CONTRACTUAL</v>
      </c>
      <c r="V395" s="185" t="str">
        <f t="shared" ref="V395:V458" si="109">IF(ISBLANK(N395),"","CO-DC")</f>
        <v>CO-DC</v>
      </c>
      <c r="W395" s="198" t="str">
        <f t="shared" ref="W395:W458" si="110">IF(ISBLANK(N395),"","Distrito Capital de Bogotá")</f>
        <v>Distrito Capital de Bogotá</v>
      </c>
      <c r="X395" s="199" t="s">
        <v>591</v>
      </c>
      <c r="Y395" s="185">
        <v>2427400</v>
      </c>
      <c r="Z395" s="125" t="s">
        <v>585</v>
      </c>
    </row>
    <row r="396" spans="1:85" s="7" customFormat="1" ht="12.75" customHeight="1" x14ac:dyDescent="0.25">
      <c r="A396" s="184" t="s">
        <v>104</v>
      </c>
      <c r="B396" s="185">
        <v>16</v>
      </c>
      <c r="C396" s="186" t="s">
        <v>108</v>
      </c>
      <c r="D396" s="186" t="s">
        <v>106</v>
      </c>
      <c r="E396" s="187"/>
      <c r="F396" s="187">
        <v>54798795</v>
      </c>
      <c r="G396" s="187"/>
      <c r="H396" s="188" t="s">
        <v>713</v>
      </c>
      <c r="I396" s="189" t="s">
        <v>399</v>
      </c>
      <c r="J396" s="206">
        <v>2</v>
      </c>
      <c r="K396" s="206">
        <v>3</v>
      </c>
      <c r="L396" s="206">
        <v>9</v>
      </c>
      <c r="M396" s="185">
        <f t="shared" si="105"/>
        <v>1</v>
      </c>
      <c r="N396" s="193" t="s">
        <v>36</v>
      </c>
      <c r="O396" s="194" t="s">
        <v>256</v>
      </c>
      <c r="P396" s="195">
        <f t="shared" si="102"/>
        <v>1</v>
      </c>
      <c r="Q396" s="196">
        <f t="shared" si="106"/>
        <v>54798795</v>
      </c>
      <c r="R396" s="196">
        <f t="shared" si="107"/>
        <v>54798795</v>
      </c>
      <c r="S396" s="197" t="s">
        <v>217</v>
      </c>
      <c r="T396" s="193">
        <f t="shared" si="103"/>
        <v>0</v>
      </c>
      <c r="U396" s="198" t="str">
        <f t="shared" si="108"/>
        <v>SUBDIRECCION DE GESTION CONTRACTUAL</v>
      </c>
      <c r="V396" s="185" t="str">
        <f t="shared" si="109"/>
        <v>CO-DC</v>
      </c>
      <c r="W396" s="198" t="str">
        <f t="shared" si="110"/>
        <v>Distrito Capital de Bogotá</v>
      </c>
      <c r="X396" s="199" t="s">
        <v>591</v>
      </c>
      <c r="Y396" s="185">
        <v>2427400</v>
      </c>
      <c r="Z396" s="125" t="s">
        <v>585</v>
      </c>
    </row>
    <row r="397" spans="1:85" s="7" customFormat="1" ht="12.75" customHeight="1" x14ac:dyDescent="0.25">
      <c r="A397" s="184" t="s">
        <v>104</v>
      </c>
      <c r="B397" s="185">
        <v>17</v>
      </c>
      <c r="C397" s="186" t="s">
        <v>108</v>
      </c>
      <c r="D397" s="186" t="s">
        <v>106</v>
      </c>
      <c r="E397" s="187"/>
      <c r="F397" s="187">
        <v>81548796</v>
      </c>
      <c r="G397" s="187"/>
      <c r="H397" s="188" t="s">
        <v>713</v>
      </c>
      <c r="I397" s="189" t="s">
        <v>400</v>
      </c>
      <c r="J397" s="206">
        <v>2</v>
      </c>
      <c r="K397" s="206">
        <v>3</v>
      </c>
      <c r="L397" s="206">
        <v>9</v>
      </c>
      <c r="M397" s="185">
        <f t="shared" si="105"/>
        <v>1</v>
      </c>
      <c r="N397" s="193" t="s">
        <v>36</v>
      </c>
      <c r="O397" s="194" t="s">
        <v>256</v>
      </c>
      <c r="P397" s="195">
        <f t="shared" si="102"/>
        <v>1</v>
      </c>
      <c r="Q397" s="196">
        <f t="shared" si="106"/>
        <v>81548796</v>
      </c>
      <c r="R397" s="196">
        <f t="shared" si="107"/>
        <v>81548796</v>
      </c>
      <c r="S397" s="197" t="s">
        <v>217</v>
      </c>
      <c r="T397" s="193">
        <f t="shared" si="103"/>
        <v>0</v>
      </c>
      <c r="U397" s="198" t="str">
        <f t="shared" si="108"/>
        <v>SUBDIRECCION DE GESTION CONTRACTUAL</v>
      </c>
      <c r="V397" s="185" t="str">
        <f t="shared" si="109"/>
        <v>CO-DC</v>
      </c>
      <c r="W397" s="198" t="str">
        <f t="shared" si="110"/>
        <v>Distrito Capital de Bogotá</v>
      </c>
      <c r="X397" s="199" t="s">
        <v>591</v>
      </c>
      <c r="Y397" s="185">
        <v>2427400</v>
      </c>
      <c r="Z397" s="125" t="s">
        <v>585</v>
      </c>
    </row>
    <row r="398" spans="1:85" s="7" customFormat="1" ht="12.75" customHeight="1" x14ac:dyDescent="0.25">
      <c r="A398" s="184" t="s">
        <v>104</v>
      </c>
      <c r="B398" s="185">
        <v>18</v>
      </c>
      <c r="C398" s="186" t="s">
        <v>108</v>
      </c>
      <c r="D398" s="186" t="s">
        <v>87</v>
      </c>
      <c r="E398" s="187"/>
      <c r="F398" s="187">
        <v>3625228068</v>
      </c>
      <c r="G398" s="187"/>
      <c r="H398" s="188" t="s">
        <v>713</v>
      </c>
      <c r="I398" s="189" t="s">
        <v>401</v>
      </c>
      <c r="J398" s="206">
        <v>2</v>
      </c>
      <c r="K398" s="206">
        <v>3</v>
      </c>
      <c r="L398" s="206">
        <v>9</v>
      </c>
      <c r="M398" s="185">
        <f t="shared" si="105"/>
        <v>1</v>
      </c>
      <c r="N398" s="193" t="s">
        <v>36</v>
      </c>
      <c r="O398" s="194" t="s">
        <v>256</v>
      </c>
      <c r="P398" s="195">
        <f t="shared" si="102"/>
        <v>1</v>
      </c>
      <c r="Q398" s="196">
        <f t="shared" si="106"/>
        <v>3625228068</v>
      </c>
      <c r="R398" s="196">
        <f t="shared" si="107"/>
        <v>3625228068</v>
      </c>
      <c r="S398" s="197" t="s">
        <v>217</v>
      </c>
      <c r="T398" s="193">
        <f t="shared" si="103"/>
        <v>0</v>
      </c>
      <c r="U398" s="198" t="str">
        <f t="shared" si="108"/>
        <v>SUBDIRECCION DE GESTION CONTRACTUAL</v>
      </c>
      <c r="V398" s="185" t="str">
        <f t="shared" si="109"/>
        <v>CO-DC</v>
      </c>
      <c r="W398" s="198" t="str">
        <f t="shared" si="110"/>
        <v>Distrito Capital de Bogotá</v>
      </c>
      <c r="X398" s="199" t="s">
        <v>591</v>
      </c>
      <c r="Y398" s="185">
        <v>2427400</v>
      </c>
      <c r="Z398" s="125" t="s">
        <v>585</v>
      </c>
    </row>
    <row r="399" spans="1:85" s="7" customFormat="1" ht="12.75" customHeight="1" x14ac:dyDescent="0.25">
      <c r="A399" s="184" t="s">
        <v>104</v>
      </c>
      <c r="B399" s="185">
        <v>19</v>
      </c>
      <c r="C399" s="186" t="s">
        <v>108</v>
      </c>
      <c r="D399" s="186" t="s">
        <v>106</v>
      </c>
      <c r="E399" s="187"/>
      <c r="F399" s="187">
        <v>707908984</v>
      </c>
      <c r="G399" s="187"/>
      <c r="H399" s="188" t="s">
        <v>713</v>
      </c>
      <c r="I399" s="189" t="s">
        <v>402</v>
      </c>
      <c r="J399" s="206">
        <v>2</v>
      </c>
      <c r="K399" s="206">
        <v>3</v>
      </c>
      <c r="L399" s="206">
        <v>9</v>
      </c>
      <c r="M399" s="185">
        <f t="shared" si="105"/>
        <v>1</v>
      </c>
      <c r="N399" s="193" t="s">
        <v>36</v>
      </c>
      <c r="O399" s="194" t="s">
        <v>256</v>
      </c>
      <c r="P399" s="195">
        <f t="shared" si="102"/>
        <v>1</v>
      </c>
      <c r="Q399" s="196">
        <f t="shared" si="106"/>
        <v>707908984</v>
      </c>
      <c r="R399" s="196">
        <f t="shared" si="107"/>
        <v>707908984</v>
      </c>
      <c r="S399" s="197" t="s">
        <v>217</v>
      </c>
      <c r="T399" s="193">
        <f t="shared" si="103"/>
        <v>0</v>
      </c>
      <c r="U399" s="198" t="str">
        <f t="shared" si="108"/>
        <v>SUBDIRECCION DE GESTION CONTRACTUAL</v>
      </c>
      <c r="V399" s="185" t="str">
        <f t="shared" si="109"/>
        <v>CO-DC</v>
      </c>
      <c r="W399" s="198" t="str">
        <f t="shared" si="110"/>
        <v>Distrito Capital de Bogotá</v>
      </c>
      <c r="X399" s="199" t="s">
        <v>591</v>
      </c>
      <c r="Y399" s="185">
        <v>2427400</v>
      </c>
      <c r="Z399" s="125" t="s">
        <v>585</v>
      </c>
      <c r="AA399" s="134"/>
      <c r="AB399" s="134"/>
      <c r="AC399" s="134"/>
      <c r="AD399" s="134"/>
      <c r="AE399" s="134"/>
      <c r="AF399" s="134"/>
      <c r="AG399" s="134"/>
      <c r="AH399" s="134"/>
      <c r="AI399" s="134"/>
      <c r="AJ399" s="134"/>
      <c r="AK399" s="134"/>
      <c r="AL399" s="134"/>
      <c r="AM399" s="134"/>
      <c r="AN399" s="134"/>
      <c r="AO399" s="134"/>
      <c r="AP399" s="134"/>
      <c r="AQ399" s="134"/>
      <c r="AR399" s="134"/>
      <c r="AS399" s="134"/>
      <c r="AT399" s="134"/>
      <c r="AU399" s="132"/>
      <c r="AV399" s="132"/>
      <c r="AW399" s="132"/>
      <c r="AX399" s="132"/>
      <c r="AY399" s="132"/>
      <c r="AZ399" s="132"/>
      <c r="BA399" s="132"/>
      <c r="BB399" s="132"/>
      <c r="BC399" s="132"/>
      <c r="BD399" s="132"/>
      <c r="BE399" s="132"/>
      <c r="BF399" s="132"/>
      <c r="BG399" s="132"/>
      <c r="BH399" s="132"/>
      <c r="BI399" s="132"/>
      <c r="BJ399" s="132"/>
      <c r="BK399" s="132"/>
      <c r="BL399" s="132"/>
      <c r="BM399" s="132"/>
      <c r="BN399" s="132"/>
      <c r="BO399" s="132"/>
      <c r="BP399" s="132"/>
      <c r="BQ399" s="132"/>
      <c r="BR399" s="132"/>
      <c r="BS399" s="132"/>
      <c r="BT399" s="132"/>
      <c r="BU399" s="132"/>
      <c r="BV399" s="132"/>
      <c r="BW399" s="132"/>
      <c r="BX399" s="132"/>
      <c r="BY399" s="132"/>
      <c r="BZ399" s="132"/>
      <c r="CA399" s="132"/>
      <c r="CB399" s="132"/>
      <c r="CC399" s="132"/>
      <c r="CD399" s="132"/>
      <c r="CE399" s="132"/>
      <c r="CF399" s="132"/>
      <c r="CG399" s="132"/>
    </row>
    <row r="400" spans="1:85" s="7" customFormat="1" ht="12.75" customHeight="1" x14ac:dyDescent="0.25">
      <c r="A400" s="184" t="s">
        <v>104</v>
      </c>
      <c r="B400" s="185">
        <v>20</v>
      </c>
      <c r="C400" s="186" t="s">
        <v>108</v>
      </c>
      <c r="D400" s="186" t="s">
        <v>106</v>
      </c>
      <c r="E400" s="187"/>
      <c r="F400" s="187">
        <v>239070300</v>
      </c>
      <c r="G400" s="187"/>
      <c r="H400" s="188" t="s">
        <v>713</v>
      </c>
      <c r="I400" s="189" t="s">
        <v>403</v>
      </c>
      <c r="J400" s="206">
        <v>2</v>
      </c>
      <c r="K400" s="206">
        <v>3</v>
      </c>
      <c r="L400" s="206">
        <v>9</v>
      </c>
      <c r="M400" s="185">
        <f t="shared" si="105"/>
        <v>1</v>
      </c>
      <c r="N400" s="193" t="s">
        <v>36</v>
      </c>
      <c r="O400" s="194" t="s">
        <v>256</v>
      </c>
      <c r="P400" s="195">
        <f t="shared" si="102"/>
        <v>1</v>
      </c>
      <c r="Q400" s="196">
        <f t="shared" si="106"/>
        <v>239070300</v>
      </c>
      <c r="R400" s="196">
        <f t="shared" si="107"/>
        <v>239070300</v>
      </c>
      <c r="S400" s="197" t="s">
        <v>217</v>
      </c>
      <c r="T400" s="193">
        <f t="shared" si="103"/>
        <v>0</v>
      </c>
      <c r="U400" s="198" t="str">
        <f t="shared" si="108"/>
        <v>SUBDIRECCION DE GESTION CONTRACTUAL</v>
      </c>
      <c r="V400" s="185" t="str">
        <f t="shared" si="109"/>
        <v>CO-DC</v>
      </c>
      <c r="W400" s="198" t="str">
        <f t="shared" si="110"/>
        <v>Distrito Capital de Bogotá</v>
      </c>
      <c r="X400" s="199" t="s">
        <v>591</v>
      </c>
      <c r="Y400" s="185">
        <v>2427400</v>
      </c>
      <c r="Z400" s="125" t="s">
        <v>585</v>
      </c>
      <c r="AA400" s="134"/>
      <c r="AB400" s="134"/>
      <c r="AC400" s="134"/>
      <c r="AD400" s="134"/>
      <c r="AE400" s="134"/>
      <c r="AF400" s="134"/>
      <c r="AG400" s="134"/>
      <c r="AH400" s="134"/>
      <c r="AI400" s="134"/>
      <c r="AJ400" s="134"/>
      <c r="AK400" s="134"/>
      <c r="AL400" s="134"/>
      <c r="AM400" s="134"/>
      <c r="AN400" s="134"/>
      <c r="AO400" s="134"/>
      <c r="AP400" s="134"/>
      <c r="AQ400" s="134"/>
      <c r="AR400" s="134"/>
      <c r="AS400" s="134"/>
      <c r="AT400" s="134"/>
      <c r="AU400" s="132"/>
      <c r="AV400" s="132"/>
      <c r="AW400" s="132"/>
      <c r="AX400" s="132"/>
      <c r="AY400" s="132"/>
      <c r="AZ400" s="132"/>
      <c r="BA400" s="132"/>
      <c r="BB400" s="132"/>
      <c r="BC400" s="132"/>
      <c r="BD400" s="132"/>
      <c r="BE400" s="132"/>
      <c r="BF400" s="132"/>
      <c r="BG400" s="132"/>
      <c r="BH400" s="132"/>
      <c r="BI400" s="132"/>
      <c r="BJ400" s="132"/>
      <c r="BK400" s="132"/>
      <c r="BL400" s="132"/>
      <c r="BM400" s="132"/>
      <c r="BN400" s="132"/>
      <c r="BO400" s="132"/>
      <c r="BP400" s="132"/>
      <c r="BQ400" s="132"/>
      <c r="BR400" s="132"/>
      <c r="BS400" s="132"/>
      <c r="BT400" s="132"/>
      <c r="BU400" s="132"/>
      <c r="BV400" s="132"/>
      <c r="BW400" s="132"/>
      <c r="BX400" s="132"/>
      <c r="BY400" s="132"/>
      <c r="BZ400" s="132"/>
      <c r="CA400" s="132"/>
      <c r="CB400" s="132"/>
      <c r="CC400" s="132"/>
      <c r="CD400" s="132"/>
      <c r="CE400" s="132"/>
      <c r="CF400" s="132"/>
      <c r="CG400" s="132"/>
    </row>
    <row r="401" spans="1:85" s="7" customFormat="1" ht="12.75" customHeight="1" x14ac:dyDescent="0.25">
      <c r="A401" s="184" t="s">
        <v>104</v>
      </c>
      <c r="B401" s="185">
        <v>21</v>
      </c>
      <c r="C401" s="186" t="s">
        <v>404</v>
      </c>
      <c r="D401" s="186" t="s">
        <v>106</v>
      </c>
      <c r="E401" s="187"/>
      <c r="F401" s="187">
        <v>377537308</v>
      </c>
      <c r="G401" s="187"/>
      <c r="H401" s="188" t="s">
        <v>713</v>
      </c>
      <c r="I401" s="189" t="s">
        <v>405</v>
      </c>
      <c r="J401" s="206">
        <v>2</v>
      </c>
      <c r="K401" s="206">
        <v>3</v>
      </c>
      <c r="L401" s="206">
        <v>9</v>
      </c>
      <c r="M401" s="185">
        <f t="shared" si="105"/>
        <v>1</v>
      </c>
      <c r="N401" s="193" t="s">
        <v>36</v>
      </c>
      <c r="O401" s="194" t="s">
        <v>256</v>
      </c>
      <c r="P401" s="195">
        <f t="shared" si="102"/>
        <v>1</v>
      </c>
      <c r="Q401" s="196">
        <f t="shared" si="106"/>
        <v>377537308</v>
      </c>
      <c r="R401" s="196">
        <f t="shared" si="107"/>
        <v>377537308</v>
      </c>
      <c r="S401" s="197" t="s">
        <v>217</v>
      </c>
      <c r="T401" s="193">
        <f t="shared" si="103"/>
        <v>0</v>
      </c>
      <c r="U401" s="198" t="str">
        <f t="shared" si="108"/>
        <v>SUBDIRECCION DE GESTION CONTRACTUAL</v>
      </c>
      <c r="V401" s="185" t="str">
        <f t="shared" si="109"/>
        <v>CO-DC</v>
      </c>
      <c r="W401" s="198" t="str">
        <f t="shared" si="110"/>
        <v>Distrito Capital de Bogotá</v>
      </c>
      <c r="X401" s="199" t="s">
        <v>591</v>
      </c>
      <c r="Y401" s="185">
        <v>2427400</v>
      </c>
      <c r="Z401" s="125" t="s">
        <v>585</v>
      </c>
      <c r="AA401" s="134"/>
      <c r="AB401" s="134"/>
      <c r="AC401" s="134"/>
      <c r="AD401" s="134"/>
      <c r="AE401" s="134"/>
      <c r="AF401" s="134"/>
      <c r="AG401" s="134"/>
      <c r="AH401" s="134"/>
      <c r="AI401" s="134"/>
      <c r="AJ401" s="134"/>
      <c r="AK401" s="134"/>
      <c r="AL401" s="134"/>
      <c r="AM401" s="134"/>
      <c r="AN401" s="134"/>
      <c r="AO401" s="134"/>
      <c r="AP401" s="134"/>
      <c r="AQ401" s="134"/>
      <c r="AR401" s="134"/>
      <c r="AS401" s="134"/>
      <c r="AT401" s="134"/>
      <c r="AU401" s="132"/>
      <c r="AV401" s="132"/>
      <c r="AW401" s="132"/>
      <c r="AX401" s="132"/>
      <c r="AY401" s="132"/>
      <c r="AZ401" s="132"/>
      <c r="BA401" s="132"/>
      <c r="BB401" s="132"/>
      <c r="BC401" s="132"/>
      <c r="BD401" s="132"/>
      <c r="BE401" s="132"/>
      <c r="BF401" s="132"/>
      <c r="BG401" s="132"/>
      <c r="BH401" s="132"/>
      <c r="BI401" s="132"/>
      <c r="BJ401" s="132"/>
      <c r="BK401" s="132"/>
      <c r="BL401" s="132"/>
      <c r="BM401" s="132"/>
      <c r="BN401" s="132"/>
      <c r="BO401" s="132"/>
      <c r="BP401" s="132"/>
      <c r="BQ401" s="132"/>
      <c r="BR401" s="132"/>
      <c r="BS401" s="132"/>
      <c r="BT401" s="132"/>
      <c r="BU401" s="132"/>
      <c r="BV401" s="132"/>
      <c r="BW401" s="132"/>
      <c r="BX401" s="132"/>
      <c r="BY401" s="132"/>
      <c r="BZ401" s="132"/>
      <c r="CA401" s="132"/>
      <c r="CB401" s="132"/>
      <c r="CC401" s="132"/>
      <c r="CD401" s="132"/>
      <c r="CE401" s="132"/>
      <c r="CF401" s="132"/>
      <c r="CG401" s="132"/>
    </row>
    <row r="402" spans="1:85" s="7" customFormat="1" ht="12.75" customHeight="1" x14ac:dyDescent="0.25">
      <c r="A402" s="184" t="s">
        <v>104</v>
      </c>
      <c r="B402" s="185">
        <v>22</v>
      </c>
      <c r="C402" s="186" t="s">
        <v>404</v>
      </c>
      <c r="D402" s="186" t="s">
        <v>106</v>
      </c>
      <c r="E402" s="187"/>
      <c r="F402" s="187">
        <v>57388638</v>
      </c>
      <c r="G402" s="187"/>
      <c r="H402" s="188" t="s">
        <v>713</v>
      </c>
      <c r="I402" s="189" t="s">
        <v>406</v>
      </c>
      <c r="J402" s="206">
        <v>2</v>
      </c>
      <c r="K402" s="206">
        <v>3</v>
      </c>
      <c r="L402" s="206">
        <v>9</v>
      </c>
      <c r="M402" s="185">
        <f t="shared" si="105"/>
        <v>1</v>
      </c>
      <c r="N402" s="193" t="s">
        <v>36</v>
      </c>
      <c r="O402" s="194" t="s">
        <v>256</v>
      </c>
      <c r="P402" s="195">
        <f t="shared" si="102"/>
        <v>1</v>
      </c>
      <c r="Q402" s="196">
        <f t="shared" si="106"/>
        <v>57388638</v>
      </c>
      <c r="R402" s="196">
        <f t="shared" si="107"/>
        <v>57388638</v>
      </c>
      <c r="S402" s="197" t="s">
        <v>217</v>
      </c>
      <c r="T402" s="193">
        <f t="shared" si="103"/>
        <v>0</v>
      </c>
      <c r="U402" s="198" t="str">
        <f t="shared" si="108"/>
        <v>SUBDIRECCION DE GESTION CONTRACTUAL</v>
      </c>
      <c r="V402" s="185" t="str">
        <f t="shared" si="109"/>
        <v>CO-DC</v>
      </c>
      <c r="W402" s="198" t="str">
        <f t="shared" si="110"/>
        <v>Distrito Capital de Bogotá</v>
      </c>
      <c r="X402" s="199" t="s">
        <v>591</v>
      </c>
      <c r="Y402" s="185">
        <v>2427400</v>
      </c>
      <c r="Z402" s="125" t="s">
        <v>585</v>
      </c>
      <c r="AA402" s="134"/>
      <c r="AB402" s="134"/>
      <c r="AC402" s="134"/>
      <c r="AD402" s="134"/>
      <c r="AE402" s="134"/>
      <c r="AF402" s="134"/>
      <c r="AG402" s="134"/>
      <c r="AH402" s="134"/>
      <c r="AI402" s="134"/>
      <c r="AJ402" s="134"/>
      <c r="AK402" s="134"/>
      <c r="AL402" s="134"/>
      <c r="AM402" s="134"/>
      <c r="AN402" s="134"/>
      <c r="AO402" s="134"/>
      <c r="AP402" s="134"/>
      <c r="AQ402" s="134"/>
      <c r="AR402" s="134"/>
      <c r="AS402" s="134"/>
      <c r="AT402" s="134"/>
      <c r="AU402" s="132"/>
      <c r="AV402" s="132"/>
      <c r="AW402" s="132"/>
      <c r="AX402" s="132"/>
      <c r="AY402" s="132"/>
      <c r="AZ402" s="132"/>
      <c r="BA402" s="132"/>
      <c r="BB402" s="132"/>
      <c r="BC402" s="132"/>
      <c r="BD402" s="132"/>
      <c r="BE402" s="132"/>
      <c r="BF402" s="132"/>
      <c r="BG402" s="132"/>
      <c r="BH402" s="132"/>
      <c r="BI402" s="132"/>
      <c r="BJ402" s="132"/>
      <c r="BK402" s="132"/>
      <c r="BL402" s="132"/>
      <c r="BM402" s="132"/>
      <c r="BN402" s="132"/>
      <c r="BO402" s="132"/>
      <c r="BP402" s="132"/>
      <c r="BQ402" s="132"/>
      <c r="BR402" s="132"/>
      <c r="BS402" s="132"/>
      <c r="BT402" s="132"/>
      <c r="BU402" s="132"/>
      <c r="BV402" s="132"/>
      <c r="BW402" s="132"/>
      <c r="BX402" s="132"/>
      <c r="BY402" s="132"/>
      <c r="BZ402" s="132"/>
      <c r="CA402" s="132"/>
      <c r="CB402" s="132"/>
      <c r="CC402" s="132"/>
      <c r="CD402" s="132"/>
      <c r="CE402" s="132"/>
      <c r="CF402" s="132"/>
      <c r="CG402" s="132"/>
    </row>
    <row r="403" spans="1:85" s="7" customFormat="1" ht="12.75" customHeight="1" x14ac:dyDescent="0.25">
      <c r="A403" s="184" t="s">
        <v>104</v>
      </c>
      <c r="B403" s="185">
        <v>23</v>
      </c>
      <c r="C403" s="186" t="s">
        <v>404</v>
      </c>
      <c r="D403" s="186" t="s">
        <v>106</v>
      </c>
      <c r="E403" s="187"/>
      <c r="F403" s="187">
        <v>132529770</v>
      </c>
      <c r="G403" s="187"/>
      <c r="H403" s="188" t="s">
        <v>713</v>
      </c>
      <c r="I403" s="189" t="s">
        <v>407</v>
      </c>
      <c r="J403" s="206">
        <v>2</v>
      </c>
      <c r="K403" s="206">
        <v>3</v>
      </c>
      <c r="L403" s="206">
        <v>9</v>
      </c>
      <c r="M403" s="185">
        <f t="shared" si="105"/>
        <v>1</v>
      </c>
      <c r="N403" s="193" t="s">
        <v>36</v>
      </c>
      <c r="O403" s="194" t="s">
        <v>256</v>
      </c>
      <c r="P403" s="195">
        <f t="shared" si="102"/>
        <v>1</v>
      </c>
      <c r="Q403" s="196">
        <f t="shared" si="106"/>
        <v>132529770</v>
      </c>
      <c r="R403" s="196">
        <f t="shared" si="107"/>
        <v>132529770</v>
      </c>
      <c r="S403" s="197" t="s">
        <v>217</v>
      </c>
      <c r="T403" s="193">
        <f t="shared" si="103"/>
        <v>0</v>
      </c>
      <c r="U403" s="198" t="str">
        <f t="shared" si="108"/>
        <v>SUBDIRECCION DE GESTION CONTRACTUAL</v>
      </c>
      <c r="V403" s="185" t="str">
        <f t="shared" si="109"/>
        <v>CO-DC</v>
      </c>
      <c r="W403" s="198" t="str">
        <f t="shared" si="110"/>
        <v>Distrito Capital de Bogotá</v>
      </c>
      <c r="X403" s="199" t="s">
        <v>591</v>
      </c>
      <c r="Y403" s="185">
        <v>2427400</v>
      </c>
      <c r="Z403" s="125" t="s">
        <v>585</v>
      </c>
      <c r="AA403" s="134"/>
      <c r="AB403" s="134"/>
      <c r="AC403" s="134"/>
      <c r="AD403" s="134"/>
      <c r="AE403" s="134"/>
      <c r="AF403" s="134"/>
      <c r="AG403" s="134"/>
      <c r="AH403" s="134"/>
      <c r="AI403" s="134"/>
      <c r="AJ403" s="134"/>
      <c r="AK403" s="134"/>
      <c r="AL403" s="134"/>
      <c r="AM403" s="134"/>
      <c r="AN403" s="134"/>
      <c r="AO403" s="134"/>
      <c r="AP403" s="134"/>
      <c r="AQ403" s="134"/>
      <c r="AR403" s="134"/>
      <c r="AS403" s="134"/>
      <c r="AT403" s="134"/>
      <c r="AU403" s="132"/>
      <c r="AV403" s="132"/>
      <c r="AW403" s="132"/>
      <c r="AX403" s="132"/>
      <c r="AY403" s="132"/>
      <c r="AZ403" s="132"/>
      <c r="BA403" s="132"/>
      <c r="BB403" s="132"/>
      <c r="BC403" s="132"/>
      <c r="BD403" s="132"/>
      <c r="BE403" s="132"/>
      <c r="BF403" s="132"/>
      <c r="BG403" s="132"/>
      <c r="BH403" s="132"/>
      <c r="BI403" s="132"/>
      <c r="BJ403" s="132"/>
      <c r="BK403" s="132"/>
      <c r="BL403" s="132"/>
      <c r="BM403" s="132"/>
      <c r="BN403" s="132"/>
      <c r="BO403" s="132"/>
      <c r="BP403" s="132"/>
      <c r="BQ403" s="132"/>
      <c r="BR403" s="132"/>
      <c r="BS403" s="132"/>
      <c r="BT403" s="132"/>
      <c r="BU403" s="132"/>
      <c r="BV403" s="132"/>
      <c r="BW403" s="132"/>
      <c r="BX403" s="132"/>
      <c r="BY403" s="132"/>
      <c r="BZ403" s="132"/>
      <c r="CA403" s="132"/>
      <c r="CB403" s="132"/>
      <c r="CC403" s="132"/>
      <c r="CD403" s="132"/>
      <c r="CE403" s="132"/>
      <c r="CF403" s="132"/>
      <c r="CG403" s="132"/>
    </row>
    <row r="404" spans="1:85" s="7" customFormat="1" ht="12.75" customHeight="1" x14ac:dyDescent="0.25">
      <c r="A404" s="184" t="s">
        <v>104</v>
      </c>
      <c r="B404" s="185">
        <v>24</v>
      </c>
      <c r="C404" s="186" t="s">
        <v>404</v>
      </c>
      <c r="D404" s="186" t="s">
        <v>87</v>
      </c>
      <c r="E404" s="187"/>
      <c r="F404" s="187">
        <v>300000000</v>
      </c>
      <c r="G404" s="187"/>
      <c r="H404" s="188" t="s">
        <v>713</v>
      </c>
      <c r="I404" s="189" t="s">
        <v>408</v>
      </c>
      <c r="J404" s="206">
        <v>2</v>
      </c>
      <c r="K404" s="206">
        <v>3</v>
      </c>
      <c r="L404" s="206">
        <v>9</v>
      </c>
      <c r="M404" s="185">
        <f t="shared" si="105"/>
        <v>1</v>
      </c>
      <c r="N404" s="193" t="s">
        <v>36</v>
      </c>
      <c r="O404" s="194" t="s">
        <v>256</v>
      </c>
      <c r="P404" s="195">
        <f t="shared" si="102"/>
        <v>1</v>
      </c>
      <c r="Q404" s="196">
        <f t="shared" si="106"/>
        <v>300000000</v>
      </c>
      <c r="R404" s="196">
        <f t="shared" si="107"/>
        <v>300000000</v>
      </c>
      <c r="S404" s="197" t="s">
        <v>217</v>
      </c>
      <c r="T404" s="193">
        <f t="shared" si="103"/>
        <v>0</v>
      </c>
      <c r="U404" s="198" t="str">
        <f t="shared" si="108"/>
        <v>SUBDIRECCION DE GESTION CONTRACTUAL</v>
      </c>
      <c r="V404" s="185" t="str">
        <f t="shared" si="109"/>
        <v>CO-DC</v>
      </c>
      <c r="W404" s="198" t="str">
        <f t="shared" si="110"/>
        <v>Distrito Capital de Bogotá</v>
      </c>
      <c r="X404" s="199" t="s">
        <v>591</v>
      </c>
      <c r="Y404" s="185">
        <v>2427400</v>
      </c>
      <c r="Z404" s="125" t="s">
        <v>585</v>
      </c>
      <c r="AA404" s="134"/>
      <c r="AB404" s="134"/>
      <c r="AC404" s="134"/>
      <c r="AD404" s="134"/>
      <c r="AE404" s="134"/>
      <c r="AF404" s="134"/>
      <c r="AG404" s="134"/>
      <c r="AH404" s="134"/>
      <c r="AI404" s="134"/>
      <c r="AJ404" s="134"/>
      <c r="AK404" s="134"/>
      <c r="AL404" s="134"/>
      <c r="AM404" s="134"/>
      <c r="AN404" s="134"/>
      <c r="AO404" s="134"/>
      <c r="AP404" s="134"/>
      <c r="AQ404" s="134"/>
      <c r="AR404" s="134"/>
      <c r="AS404" s="134"/>
      <c r="AT404" s="134"/>
      <c r="AU404" s="132"/>
      <c r="AV404" s="132"/>
      <c r="AW404" s="132"/>
      <c r="AX404" s="132"/>
      <c r="AY404" s="132"/>
      <c r="AZ404" s="132"/>
      <c r="BA404" s="132"/>
      <c r="BB404" s="132"/>
      <c r="BC404" s="132"/>
      <c r="BD404" s="132"/>
      <c r="BE404" s="132"/>
      <c r="BF404" s="132"/>
      <c r="BG404" s="132"/>
      <c r="BH404" s="132"/>
      <c r="BI404" s="132"/>
      <c r="BJ404" s="132"/>
      <c r="BK404" s="132"/>
      <c r="BL404" s="132"/>
      <c r="BM404" s="132"/>
      <c r="BN404" s="132"/>
      <c r="BO404" s="132"/>
      <c r="BP404" s="132"/>
      <c r="BQ404" s="132"/>
      <c r="BR404" s="132"/>
      <c r="BS404" s="132"/>
      <c r="BT404" s="132"/>
      <c r="BU404" s="132"/>
      <c r="BV404" s="132"/>
      <c r="BW404" s="132"/>
      <c r="BX404" s="132"/>
      <c r="BY404" s="132"/>
      <c r="BZ404" s="132"/>
      <c r="CA404" s="132"/>
      <c r="CB404" s="132"/>
      <c r="CC404" s="132"/>
      <c r="CD404" s="132"/>
      <c r="CE404" s="132"/>
      <c r="CF404" s="132"/>
      <c r="CG404" s="132"/>
    </row>
    <row r="405" spans="1:85" s="7" customFormat="1" ht="12.75" customHeight="1" x14ac:dyDescent="0.2">
      <c r="A405" s="184" t="s">
        <v>714</v>
      </c>
      <c r="B405" s="185">
        <v>1</v>
      </c>
      <c r="C405" s="186" t="s">
        <v>748</v>
      </c>
      <c r="D405" s="186" t="s">
        <v>715</v>
      </c>
      <c r="E405" s="187"/>
      <c r="F405" s="187">
        <f>81890738+105693925</f>
        <v>187584663</v>
      </c>
      <c r="G405" s="187"/>
      <c r="H405" s="188">
        <v>80111600</v>
      </c>
      <c r="I405" s="189" t="s">
        <v>716</v>
      </c>
      <c r="J405" s="206">
        <v>1</v>
      </c>
      <c r="K405" s="206">
        <v>1</v>
      </c>
      <c r="L405" s="206">
        <v>12</v>
      </c>
      <c r="M405" s="185">
        <v>1</v>
      </c>
      <c r="N405" s="193" t="s">
        <v>210</v>
      </c>
      <c r="O405" s="194" t="s">
        <v>264</v>
      </c>
      <c r="P405" s="195">
        <v>1</v>
      </c>
      <c r="Q405" s="196">
        <f t="shared" si="106"/>
        <v>187584663</v>
      </c>
      <c r="R405" s="196">
        <f t="shared" si="107"/>
        <v>187584663</v>
      </c>
      <c r="S405" s="271">
        <v>0</v>
      </c>
      <c r="T405" s="193">
        <v>0</v>
      </c>
      <c r="U405" s="198" t="str">
        <f t="shared" si="108"/>
        <v>SUBDIRECCION DE GESTION CONTRACTUAL</v>
      </c>
      <c r="V405" s="185" t="str">
        <f t="shared" si="109"/>
        <v>CO-DC</v>
      </c>
      <c r="W405" s="198" t="str">
        <f t="shared" si="110"/>
        <v>Distrito Capital de Bogotá</v>
      </c>
      <c r="X405" s="199" t="s">
        <v>717</v>
      </c>
      <c r="Y405" s="185">
        <v>2427400</v>
      </c>
      <c r="Z405" s="200" t="s">
        <v>718</v>
      </c>
      <c r="AA405" s="134"/>
      <c r="AB405" s="134"/>
      <c r="AC405" s="134"/>
      <c r="AD405" s="134"/>
      <c r="AE405" s="134"/>
      <c r="AF405" s="134"/>
      <c r="AG405" s="134"/>
      <c r="AH405" s="134"/>
      <c r="AI405" s="134"/>
      <c r="AJ405" s="134"/>
      <c r="AK405" s="134"/>
      <c r="AL405" s="134"/>
      <c r="AM405" s="134"/>
      <c r="AN405" s="134"/>
      <c r="AO405" s="134"/>
      <c r="AP405" s="134"/>
      <c r="AQ405" s="134"/>
      <c r="AR405" s="134"/>
      <c r="AS405" s="134"/>
      <c r="AT405" s="134"/>
      <c r="AU405" s="132"/>
      <c r="AV405" s="132"/>
      <c r="AW405" s="132"/>
      <c r="AX405" s="132"/>
      <c r="AY405" s="132"/>
      <c r="AZ405" s="132"/>
      <c r="BA405" s="132"/>
      <c r="BB405" s="132"/>
      <c r="BC405" s="132"/>
      <c r="BD405" s="132"/>
      <c r="BE405" s="132"/>
      <c r="BF405" s="132"/>
      <c r="BG405" s="132"/>
      <c r="BH405" s="132"/>
      <c r="BI405" s="132"/>
      <c r="BJ405" s="132"/>
      <c r="BK405" s="132"/>
      <c r="BL405" s="132"/>
      <c r="BM405" s="132"/>
      <c r="BN405" s="132"/>
      <c r="BO405" s="132"/>
      <c r="BP405" s="132"/>
      <c r="BQ405" s="132"/>
      <c r="BR405" s="132"/>
      <c r="BS405" s="132"/>
      <c r="BT405" s="132"/>
      <c r="BU405" s="132"/>
      <c r="BV405" s="132"/>
      <c r="BW405" s="132"/>
      <c r="BX405" s="132"/>
      <c r="BY405" s="132"/>
      <c r="BZ405" s="132"/>
      <c r="CA405" s="132"/>
      <c r="CB405" s="132"/>
      <c r="CC405" s="132"/>
      <c r="CD405" s="132"/>
      <c r="CE405" s="132"/>
      <c r="CF405" s="132"/>
      <c r="CG405" s="132"/>
    </row>
    <row r="406" spans="1:85" s="7" customFormat="1" ht="12.75" customHeight="1" x14ac:dyDescent="0.2">
      <c r="A406" s="184" t="s">
        <v>714</v>
      </c>
      <c r="B406" s="185">
        <v>2</v>
      </c>
      <c r="C406" s="186" t="s">
        <v>748</v>
      </c>
      <c r="D406" s="186" t="s">
        <v>719</v>
      </c>
      <c r="E406" s="187"/>
      <c r="F406" s="187">
        <f>54593836+241598471</f>
        <v>296192307</v>
      </c>
      <c r="G406" s="187"/>
      <c r="H406" s="188">
        <v>80111600</v>
      </c>
      <c r="I406" s="189" t="s">
        <v>716</v>
      </c>
      <c r="J406" s="206">
        <v>1</v>
      </c>
      <c r="K406" s="206">
        <v>1</v>
      </c>
      <c r="L406" s="206">
        <v>12</v>
      </c>
      <c r="M406" s="185">
        <v>1</v>
      </c>
      <c r="N406" s="193" t="s">
        <v>210</v>
      </c>
      <c r="O406" s="194" t="s">
        <v>264</v>
      </c>
      <c r="P406" s="195">
        <v>1</v>
      </c>
      <c r="Q406" s="196">
        <f t="shared" si="106"/>
        <v>296192307</v>
      </c>
      <c r="R406" s="196">
        <f t="shared" si="107"/>
        <v>296192307</v>
      </c>
      <c r="S406" s="271">
        <v>0</v>
      </c>
      <c r="T406" s="193">
        <v>0</v>
      </c>
      <c r="U406" s="198" t="str">
        <f t="shared" si="108"/>
        <v>SUBDIRECCION DE GESTION CONTRACTUAL</v>
      </c>
      <c r="V406" s="185" t="str">
        <f t="shared" si="109"/>
        <v>CO-DC</v>
      </c>
      <c r="W406" s="198" t="str">
        <f t="shared" si="110"/>
        <v>Distrito Capital de Bogotá</v>
      </c>
      <c r="X406" s="199" t="s">
        <v>717</v>
      </c>
      <c r="Y406" s="185">
        <v>2427400</v>
      </c>
      <c r="Z406" s="200" t="s">
        <v>718</v>
      </c>
      <c r="AA406" s="134"/>
      <c r="AB406" s="134"/>
      <c r="AC406" s="134"/>
      <c r="AD406" s="134"/>
      <c r="AE406" s="134"/>
      <c r="AF406" s="134"/>
      <c r="AG406" s="134"/>
      <c r="AH406" s="134"/>
      <c r="AI406" s="134"/>
      <c r="AJ406" s="134"/>
      <c r="AK406" s="134"/>
      <c r="AL406" s="134"/>
      <c r="AM406" s="134"/>
      <c r="AN406" s="134"/>
      <c r="AO406" s="134"/>
      <c r="AP406" s="134"/>
      <c r="AQ406" s="134"/>
      <c r="AR406" s="134"/>
      <c r="AS406" s="134"/>
      <c r="AT406" s="134"/>
      <c r="AU406" s="132"/>
      <c r="AV406" s="132"/>
      <c r="AW406" s="132"/>
      <c r="AX406" s="132"/>
      <c r="AY406" s="132"/>
      <c r="AZ406" s="132"/>
      <c r="BA406" s="132"/>
      <c r="BB406" s="132"/>
      <c r="BC406" s="132"/>
      <c r="BD406" s="132"/>
      <c r="BE406" s="132"/>
      <c r="BF406" s="132"/>
      <c r="BG406" s="132"/>
      <c r="BH406" s="132"/>
      <c r="BI406" s="132"/>
      <c r="BJ406" s="132"/>
      <c r="BK406" s="132"/>
      <c r="BL406" s="132"/>
      <c r="BM406" s="132"/>
      <c r="BN406" s="132"/>
      <c r="BO406" s="132"/>
      <c r="BP406" s="132"/>
      <c r="BQ406" s="132"/>
      <c r="BR406" s="132"/>
      <c r="BS406" s="132"/>
      <c r="BT406" s="132"/>
      <c r="BU406" s="132"/>
      <c r="BV406" s="132"/>
      <c r="BW406" s="132"/>
      <c r="BX406" s="132"/>
      <c r="BY406" s="132"/>
      <c r="BZ406" s="132"/>
      <c r="CA406" s="132"/>
      <c r="CB406" s="132"/>
      <c r="CC406" s="132"/>
      <c r="CD406" s="132"/>
      <c r="CE406" s="132"/>
      <c r="CF406" s="132"/>
      <c r="CG406" s="132"/>
    </row>
    <row r="407" spans="1:85" s="7" customFormat="1" ht="12.75" customHeight="1" x14ac:dyDescent="0.2">
      <c r="A407" s="184" t="s">
        <v>714</v>
      </c>
      <c r="B407" s="185">
        <v>3</v>
      </c>
      <c r="C407" s="186" t="s">
        <v>748</v>
      </c>
      <c r="D407" s="186" t="s">
        <v>720</v>
      </c>
      <c r="E407" s="187"/>
      <c r="F407" s="187">
        <v>81890752</v>
      </c>
      <c r="G407" s="187"/>
      <c r="H407" s="188">
        <v>80111600</v>
      </c>
      <c r="I407" s="189" t="s">
        <v>716</v>
      </c>
      <c r="J407" s="206">
        <v>1</v>
      </c>
      <c r="K407" s="206">
        <v>1</v>
      </c>
      <c r="L407" s="206">
        <v>12</v>
      </c>
      <c r="M407" s="185">
        <v>1</v>
      </c>
      <c r="N407" s="193" t="s">
        <v>210</v>
      </c>
      <c r="O407" s="194" t="s">
        <v>264</v>
      </c>
      <c r="P407" s="195">
        <v>1</v>
      </c>
      <c r="Q407" s="196">
        <f t="shared" si="106"/>
        <v>81890752</v>
      </c>
      <c r="R407" s="196">
        <f t="shared" si="107"/>
        <v>81890752</v>
      </c>
      <c r="S407" s="271">
        <v>0</v>
      </c>
      <c r="T407" s="193">
        <v>0</v>
      </c>
      <c r="U407" s="198" t="str">
        <f t="shared" si="108"/>
        <v>SUBDIRECCION DE GESTION CONTRACTUAL</v>
      </c>
      <c r="V407" s="185" t="str">
        <f t="shared" si="109"/>
        <v>CO-DC</v>
      </c>
      <c r="W407" s="198" t="str">
        <f t="shared" si="110"/>
        <v>Distrito Capital de Bogotá</v>
      </c>
      <c r="X407" s="199" t="s">
        <v>717</v>
      </c>
      <c r="Y407" s="185">
        <v>2427400</v>
      </c>
      <c r="Z407" s="200" t="s">
        <v>718</v>
      </c>
      <c r="AA407" s="134"/>
      <c r="AB407" s="134"/>
      <c r="AC407" s="134"/>
      <c r="AD407" s="134"/>
      <c r="AE407" s="134"/>
      <c r="AF407" s="134"/>
      <c r="AG407" s="134"/>
      <c r="AH407" s="134"/>
      <c r="AI407" s="134"/>
      <c r="AJ407" s="134"/>
      <c r="AK407" s="134"/>
      <c r="AL407" s="134"/>
      <c r="AM407" s="134"/>
      <c r="AN407" s="134"/>
      <c r="AO407" s="134"/>
      <c r="AP407" s="134"/>
      <c r="AQ407" s="134"/>
      <c r="AR407" s="134"/>
      <c r="AS407" s="134"/>
      <c r="AT407" s="134"/>
      <c r="AU407" s="132"/>
      <c r="AV407" s="132"/>
      <c r="AW407" s="132"/>
      <c r="AX407" s="132"/>
      <c r="AY407" s="132"/>
      <c r="AZ407" s="132"/>
      <c r="BA407" s="132"/>
      <c r="BB407" s="132"/>
      <c r="BC407" s="132"/>
      <c r="BD407" s="132"/>
      <c r="BE407" s="132"/>
      <c r="BF407" s="132"/>
      <c r="BG407" s="132"/>
      <c r="BH407" s="132"/>
      <c r="BI407" s="132"/>
      <c r="BJ407" s="132"/>
      <c r="BK407" s="132"/>
      <c r="BL407" s="132"/>
      <c r="BM407" s="132"/>
      <c r="BN407" s="132"/>
      <c r="BO407" s="132"/>
      <c r="BP407" s="132"/>
      <c r="BQ407" s="132"/>
      <c r="BR407" s="132"/>
      <c r="BS407" s="132"/>
      <c r="BT407" s="132"/>
      <c r="BU407" s="132"/>
      <c r="BV407" s="132"/>
      <c r="BW407" s="132"/>
      <c r="BX407" s="132"/>
      <c r="BY407" s="132"/>
      <c r="BZ407" s="132"/>
      <c r="CA407" s="132"/>
      <c r="CB407" s="132"/>
      <c r="CC407" s="132"/>
      <c r="CD407" s="132"/>
      <c r="CE407" s="132"/>
      <c r="CF407" s="132"/>
      <c r="CG407" s="132"/>
    </row>
    <row r="408" spans="1:85" s="7" customFormat="1" ht="12.75" customHeight="1" x14ac:dyDescent="0.2">
      <c r="A408" s="184" t="s">
        <v>714</v>
      </c>
      <c r="B408" s="185">
        <v>4</v>
      </c>
      <c r="C408" s="186" t="s">
        <v>748</v>
      </c>
      <c r="D408" s="186" t="s">
        <v>721</v>
      </c>
      <c r="E408" s="187"/>
      <c r="F408" s="187">
        <v>54593836</v>
      </c>
      <c r="G408" s="187"/>
      <c r="H408" s="188">
        <v>80111600</v>
      </c>
      <c r="I408" s="189" t="s">
        <v>716</v>
      </c>
      <c r="J408" s="206">
        <v>1</v>
      </c>
      <c r="K408" s="206">
        <v>1</v>
      </c>
      <c r="L408" s="206">
        <v>12</v>
      </c>
      <c r="M408" s="185">
        <v>1</v>
      </c>
      <c r="N408" s="193" t="s">
        <v>210</v>
      </c>
      <c r="O408" s="194" t="s">
        <v>264</v>
      </c>
      <c r="P408" s="195">
        <v>1</v>
      </c>
      <c r="Q408" s="196">
        <f t="shared" si="106"/>
        <v>54593836</v>
      </c>
      <c r="R408" s="196">
        <f t="shared" si="107"/>
        <v>54593836</v>
      </c>
      <c r="S408" s="271">
        <v>0</v>
      </c>
      <c r="T408" s="193">
        <v>0</v>
      </c>
      <c r="U408" s="198" t="str">
        <f t="shared" si="108"/>
        <v>SUBDIRECCION DE GESTION CONTRACTUAL</v>
      </c>
      <c r="V408" s="185" t="str">
        <f t="shared" si="109"/>
        <v>CO-DC</v>
      </c>
      <c r="W408" s="198" t="str">
        <f t="shared" si="110"/>
        <v>Distrito Capital de Bogotá</v>
      </c>
      <c r="X408" s="199" t="s">
        <v>717</v>
      </c>
      <c r="Y408" s="185">
        <v>2427400</v>
      </c>
      <c r="Z408" s="200" t="s">
        <v>718</v>
      </c>
      <c r="AA408" s="134"/>
      <c r="AB408" s="134"/>
      <c r="AC408" s="134"/>
      <c r="AD408" s="134"/>
      <c r="AE408" s="134"/>
      <c r="AF408" s="134"/>
      <c r="AG408" s="134"/>
      <c r="AH408" s="134"/>
      <c r="AI408" s="134"/>
      <c r="AJ408" s="134"/>
      <c r="AK408" s="134"/>
      <c r="AL408" s="134"/>
      <c r="AM408" s="134"/>
      <c r="AN408" s="134"/>
      <c r="AO408" s="134"/>
      <c r="AP408" s="134"/>
      <c r="AQ408" s="134"/>
      <c r="AR408" s="134"/>
      <c r="AS408" s="134"/>
      <c r="AT408" s="134"/>
      <c r="AU408" s="132"/>
      <c r="AV408" s="132"/>
      <c r="AW408" s="132"/>
      <c r="AX408" s="132"/>
      <c r="AY408" s="132"/>
      <c r="AZ408" s="132"/>
      <c r="BA408" s="132"/>
      <c r="BB408" s="132"/>
      <c r="BC408" s="132"/>
      <c r="BD408" s="132"/>
      <c r="BE408" s="132"/>
      <c r="BF408" s="132"/>
      <c r="BG408" s="132"/>
      <c r="BH408" s="132"/>
      <c r="BI408" s="132"/>
      <c r="BJ408" s="132"/>
      <c r="BK408" s="132"/>
      <c r="BL408" s="132"/>
      <c r="BM408" s="132"/>
      <c r="BN408" s="132"/>
      <c r="BO408" s="132"/>
      <c r="BP408" s="132"/>
      <c r="BQ408" s="132"/>
      <c r="BR408" s="132"/>
      <c r="BS408" s="132"/>
      <c r="BT408" s="132"/>
      <c r="BU408" s="132"/>
      <c r="BV408" s="132"/>
      <c r="BW408" s="132"/>
      <c r="BX408" s="132"/>
      <c r="BY408" s="132"/>
      <c r="BZ408" s="132"/>
      <c r="CA408" s="132"/>
      <c r="CB408" s="132"/>
      <c r="CC408" s="132"/>
      <c r="CD408" s="132"/>
      <c r="CE408" s="132"/>
      <c r="CF408" s="132"/>
      <c r="CG408" s="132"/>
    </row>
    <row r="409" spans="1:85" s="7" customFormat="1" ht="12.75" customHeight="1" x14ac:dyDescent="0.2">
      <c r="A409" s="184" t="s">
        <v>714</v>
      </c>
      <c r="B409" s="185">
        <v>5</v>
      </c>
      <c r="C409" s="186" t="s">
        <v>751</v>
      </c>
      <c r="D409" s="186" t="s">
        <v>722</v>
      </c>
      <c r="E409" s="187"/>
      <c r="F409" s="187">
        <f>130088818+213220519</f>
        <v>343309337</v>
      </c>
      <c r="G409" s="187"/>
      <c r="H409" s="188">
        <v>80111600</v>
      </c>
      <c r="I409" s="189" t="s">
        <v>716</v>
      </c>
      <c r="J409" s="206">
        <v>1</v>
      </c>
      <c r="K409" s="206">
        <v>1</v>
      </c>
      <c r="L409" s="206">
        <v>12</v>
      </c>
      <c r="M409" s="185">
        <v>1</v>
      </c>
      <c r="N409" s="193" t="s">
        <v>210</v>
      </c>
      <c r="O409" s="194" t="s">
        <v>264</v>
      </c>
      <c r="P409" s="195">
        <v>1</v>
      </c>
      <c r="Q409" s="196">
        <f t="shared" si="106"/>
        <v>343309337</v>
      </c>
      <c r="R409" s="196">
        <f t="shared" si="107"/>
        <v>343309337</v>
      </c>
      <c r="S409" s="271">
        <v>0</v>
      </c>
      <c r="T409" s="193">
        <v>0</v>
      </c>
      <c r="U409" s="198" t="str">
        <f t="shared" si="108"/>
        <v>SUBDIRECCION DE GESTION CONTRACTUAL</v>
      </c>
      <c r="V409" s="185" t="str">
        <f t="shared" si="109"/>
        <v>CO-DC</v>
      </c>
      <c r="W409" s="198" t="str">
        <f t="shared" si="110"/>
        <v>Distrito Capital de Bogotá</v>
      </c>
      <c r="X409" s="199" t="s">
        <v>717</v>
      </c>
      <c r="Y409" s="185">
        <v>2427400</v>
      </c>
      <c r="Z409" s="200" t="s">
        <v>718</v>
      </c>
    </row>
    <row r="410" spans="1:85" s="7" customFormat="1" ht="12.75" customHeight="1" x14ac:dyDescent="0.2">
      <c r="A410" s="184" t="s">
        <v>714</v>
      </c>
      <c r="B410" s="185">
        <v>6</v>
      </c>
      <c r="C410" s="186" t="s">
        <v>751</v>
      </c>
      <c r="D410" s="186" t="s">
        <v>723</v>
      </c>
      <c r="E410" s="187"/>
      <c r="F410" s="187">
        <v>86725872</v>
      </c>
      <c r="G410" s="187"/>
      <c r="H410" s="188">
        <v>80111600</v>
      </c>
      <c r="I410" s="189" t="s">
        <v>716</v>
      </c>
      <c r="J410" s="206">
        <v>1</v>
      </c>
      <c r="K410" s="206">
        <v>1</v>
      </c>
      <c r="L410" s="206">
        <v>12</v>
      </c>
      <c r="M410" s="185">
        <v>1</v>
      </c>
      <c r="N410" s="193" t="s">
        <v>210</v>
      </c>
      <c r="O410" s="194" t="s">
        <v>264</v>
      </c>
      <c r="P410" s="195">
        <v>1</v>
      </c>
      <c r="Q410" s="196">
        <f t="shared" si="106"/>
        <v>86725872</v>
      </c>
      <c r="R410" s="196">
        <f t="shared" si="107"/>
        <v>86725872</v>
      </c>
      <c r="S410" s="271">
        <v>0</v>
      </c>
      <c r="T410" s="193">
        <v>0</v>
      </c>
      <c r="U410" s="198" t="str">
        <f t="shared" si="108"/>
        <v>SUBDIRECCION DE GESTION CONTRACTUAL</v>
      </c>
      <c r="V410" s="185" t="str">
        <f t="shared" si="109"/>
        <v>CO-DC</v>
      </c>
      <c r="W410" s="198" t="str">
        <f t="shared" si="110"/>
        <v>Distrito Capital de Bogotá</v>
      </c>
      <c r="X410" s="199" t="s">
        <v>717</v>
      </c>
      <c r="Y410" s="185">
        <v>2427400</v>
      </c>
      <c r="Z410" s="200" t="s">
        <v>718</v>
      </c>
      <c r="AA410" s="134"/>
      <c r="AB410" s="134"/>
      <c r="AC410" s="134"/>
      <c r="AD410" s="134"/>
      <c r="AE410" s="134"/>
      <c r="AF410" s="134"/>
      <c r="AG410" s="134"/>
      <c r="AH410" s="134"/>
      <c r="AI410" s="134"/>
      <c r="AJ410" s="134"/>
      <c r="AK410" s="134"/>
      <c r="AL410" s="134"/>
      <c r="AM410" s="134"/>
      <c r="AN410" s="134"/>
      <c r="AO410" s="134"/>
      <c r="AP410" s="134"/>
      <c r="AQ410" s="134"/>
      <c r="AR410" s="134"/>
      <c r="AS410" s="134"/>
      <c r="AT410" s="134"/>
      <c r="AU410" s="132"/>
      <c r="AV410" s="132"/>
      <c r="AW410" s="132"/>
      <c r="AX410" s="132"/>
      <c r="AY410" s="132"/>
      <c r="AZ410" s="132"/>
      <c r="BA410" s="132"/>
      <c r="BB410" s="132"/>
      <c r="BC410" s="132"/>
      <c r="BD410" s="132"/>
      <c r="BE410" s="132"/>
      <c r="BF410" s="132"/>
      <c r="BG410" s="132"/>
      <c r="BH410" s="132"/>
      <c r="BI410" s="132"/>
      <c r="BJ410" s="132"/>
      <c r="BK410" s="132"/>
      <c r="BL410" s="132"/>
      <c r="BM410" s="132"/>
      <c r="BN410" s="132"/>
      <c r="BO410" s="132"/>
      <c r="BP410" s="132"/>
      <c r="BQ410" s="132"/>
      <c r="BR410" s="132"/>
      <c r="BS410" s="132"/>
      <c r="BT410" s="132"/>
      <c r="BU410" s="132"/>
      <c r="BV410" s="132"/>
      <c r="BW410" s="132"/>
      <c r="BX410" s="132"/>
      <c r="BY410" s="132"/>
      <c r="BZ410" s="132"/>
      <c r="CA410" s="132"/>
      <c r="CB410" s="132"/>
      <c r="CC410" s="132"/>
      <c r="CD410" s="132"/>
      <c r="CE410" s="132"/>
      <c r="CF410" s="132"/>
      <c r="CG410" s="132"/>
    </row>
    <row r="411" spans="1:85" s="7" customFormat="1" ht="12.75" customHeight="1" x14ac:dyDescent="0.2">
      <c r="A411" s="184" t="s">
        <v>714</v>
      </c>
      <c r="B411" s="185">
        <v>7</v>
      </c>
      <c r="C411" s="186" t="s">
        <v>751</v>
      </c>
      <c r="D411" s="186" t="s">
        <v>724</v>
      </c>
      <c r="E411" s="187"/>
      <c r="F411" s="187">
        <v>130088818</v>
      </c>
      <c r="G411" s="187"/>
      <c r="H411" s="188">
        <v>80111600</v>
      </c>
      <c r="I411" s="189" t="s">
        <v>716</v>
      </c>
      <c r="J411" s="206">
        <v>1</v>
      </c>
      <c r="K411" s="206">
        <v>1</v>
      </c>
      <c r="L411" s="206">
        <v>12</v>
      </c>
      <c r="M411" s="185">
        <v>1</v>
      </c>
      <c r="N411" s="193" t="s">
        <v>210</v>
      </c>
      <c r="O411" s="194" t="s">
        <v>264</v>
      </c>
      <c r="P411" s="195">
        <v>1</v>
      </c>
      <c r="Q411" s="196">
        <f t="shared" si="106"/>
        <v>130088818</v>
      </c>
      <c r="R411" s="196">
        <f t="shared" si="107"/>
        <v>130088818</v>
      </c>
      <c r="S411" s="271">
        <v>0</v>
      </c>
      <c r="T411" s="193">
        <v>0</v>
      </c>
      <c r="U411" s="198" t="str">
        <f t="shared" si="108"/>
        <v>SUBDIRECCION DE GESTION CONTRACTUAL</v>
      </c>
      <c r="V411" s="185" t="str">
        <f t="shared" si="109"/>
        <v>CO-DC</v>
      </c>
      <c r="W411" s="198" t="str">
        <f t="shared" si="110"/>
        <v>Distrito Capital de Bogotá</v>
      </c>
      <c r="X411" s="199" t="s">
        <v>717</v>
      </c>
      <c r="Y411" s="185">
        <v>2427400</v>
      </c>
      <c r="Z411" s="200" t="s">
        <v>718</v>
      </c>
    </row>
    <row r="412" spans="1:85" s="7" customFormat="1" ht="12.75" customHeight="1" x14ac:dyDescent="0.2">
      <c r="A412" s="184" t="s">
        <v>714</v>
      </c>
      <c r="B412" s="185">
        <v>8</v>
      </c>
      <c r="C412" s="186" t="s">
        <v>751</v>
      </c>
      <c r="D412" s="186" t="s">
        <v>725</v>
      </c>
      <c r="E412" s="187"/>
      <c r="F412" s="187">
        <v>86725872</v>
      </c>
      <c r="G412" s="187"/>
      <c r="H412" s="188">
        <v>80111600</v>
      </c>
      <c r="I412" s="189" t="s">
        <v>716</v>
      </c>
      <c r="J412" s="206">
        <v>1</v>
      </c>
      <c r="K412" s="206">
        <v>1</v>
      </c>
      <c r="L412" s="206">
        <v>12</v>
      </c>
      <c r="M412" s="185">
        <v>1</v>
      </c>
      <c r="N412" s="193" t="s">
        <v>210</v>
      </c>
      <c r="O412" s="194" t="s">
        <v>264</v>
      </c>
      <c r="P412" s="195">
        <v>1</v>
      </c>
      <c r="Q412" s="196">
        <f t="shared" si="106"/>
        <v>86725872</v>
      </c>
      <c r="R412" s="196">
        <f t="shared" si="107"/>
        <v>86725872</v>
      </c>
      <c r="S412" s="271">
        <v>0</v>
      </c>
      <c r="T412" s="193">
        <v>0</v>
      </c>
      <c r="U412" s="198" t="str">
        <f t="shared" si="108"/>
        <v>SUBDIRECCION DE GESTION CONTRACTUAL</v>
      </c>
      <c r="V412" s="185" t="str">
        <f t="shared" si="109"/>
        <v>CO-DC</v>
      </c>
      <c r="W412" s="198" t="str">
        <f t="shared" si="110"/>
        <v>Distrito Capital de Bogotá</v>
      </c>
      <c r="X412" s="199" t="s">
        <v>717</v>
      </c>
      <c r="Y412" s="185">
        <v>2427400</v>
      </c>
      <c r="Z412" s="200" t="s">
        <v>718</v>
      </c>
    </row>
    <row r="413" spans="1:85" s="132" customFormat="1" ht="13.9" customHeight="1" x14ac:dyDescent="0.2">
      <c r="A413" s="184" t="s">
        <v>714</v>
      </c>
      <c r="B413" s="185">
        <v>9</v>
      </c>
      <c r="C413" s="186" t="s">
        <v>753</v>
      </c>
      <c r="D413" s="186" t="s">
        <v>726</v>
      </c>
      <c r="E413" s="187"/>
      <c r="F413" s="187">
        <v>28379484</v>
      </c>
      <c r="G413" s="187"/>
      <c r="H413" s="188">
        <v>80111600</v>
      </c>
      <c r="I413" s="189" t="s">
        <v>716</v>
      </c>
      <c r="J413" s="206">
        <v>1</v>
      </c>
      <c r="K413" s="206">
        <v>1</v>
      </c>
      <c r="L413" s="206">
        <v>12</v>
      </c>
      <c r="M413" s="185">
        <v>1</v>
      </c>
      <c r="N413" s="193" t="s">
        <v>210</v>
      </c>
      <c r="O413" s="194" t="s">
        <v>264</v>
      </c>
      <c r="P413" s="195">
        <v>1</v>
      </c>
      <c r="Q413" s="196">
        <f t="shared" si="106"/>
        <v>28379484</v>
      </c>
      <c r="R413" s="196">
        <f t="shared" si="107"/>
        <v>28379484</v>
      </c>
      <c r="S413" s="271">
        <v>0</v>
      </c>
      <c r="T413" s="193">
        <v>0</v>
      </c>
      <c r="U413" s="198" t="str">
        <f t="shared" si="108"/>
        <v>SUBDIRECCION DE GESTION CONTRACTUAL</v>
      </c>
      <c r="V413" s="185" t="str">
        <f t="shared" si="109"/>
        <v>CO-DC</v>
      </c>
      <c r="W413" s="198" t="str">
        <f t="shared" si="110"/>
        <v>Distrito Capital de Bogotá</v>
      </c>
      <c r="X413" s="199" t="s">
        <v>717</v>
      </c>
      <c r="Y413" s="185">
        <v>2427400</v>
      </c>
      <c r="Z413" s="200" t="s">
        <v>718</v>
      </c>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row>
    <row r="414" spans="1:85" s="7" customFormat="1" ht="12.75" customHeight="1" x14ac:dyDescent="0.2">
      <c r="A414" s="184" t="s">
        <v>714</v>
      </c>
      <c r="B414" s="185">
        <v>10</v>
      </c>
      <c r="C414" s="186" t="s">
        <v>753</v>
      </c>
      <c r="D414" s="186" t="s">
        <v>727</v>
      </c>
      <c r="E414" s="187"/>
      <c r="F414" s="187">
        <v>18919652</v>
      </c>
      <c r="G414" s="187"/>
      <c r="H414" s="188">
        <v>80111600</v>
      </c>
      <c r="I414" s="189" t="s">
        <v>716</v>
      </c>
      <c r="J414" s="206">
        <v>1</v>
      </c>
      <c r="K414" s="206">
        <v>1</v>
      </c>
      <c r="L414" s="206">
        <v>12</v>
      </c>
      <c r="M414" s="185">
        <v>1</v>
      </c>
      <c r="N414" s="193" t="s">
        <v>210</v>
      </c>
      <c r="O414" s="194" t="s">
        <v>264</v>
      </c>
      <c r="P414" s="195">
        <v>1</v>
      </c>
      <c r="Q414" s="196">
        <f t="shared" si="106"/>
        <v>18919652</v>
      </c>
      <c r="R414" s="196">
        <f t="shared" si="107"/>
        <v>18919652</v>
      </c>
      <c r="S414" s="271">
        <v>0</v>
      </c>
      <c r="T414" s="193">
        <v>0</v>
      </c>
      <c r="U414" s="198" t="str">
        <f t="shared" si="108"/>
        <v>SUBDIRECCION DE GESTION CONTRACTUAL</v>
      </c>
      <c r="V414" s="185" t="str">
        <f t="shared" si="109"/>
        <v>CO-DC</v>
      </c>
      <c r="W414" s="198" t="str">
        <f t="shared" si="110"/>
        <v>Distrito Capital de Bogotá</v>
      </c>
      <c r="X414" s="199" t="s">
        <v>717</v>
      </c>
      <c r="Y414" s="185">
        <v>2427400</v>
      </c>
      <c r="Z414" s="200" t="s">
        <v>718</v>
      </c>
    </row>
    <row r="415" spans="1:85" s="7" customFormat="1" ht="12.75" customHeight="1" x14ac:dyDescent="0.2">
      <c r="A415" s="184" t="s">
        <v>714</v>
      </c>
      <c r="B415" s="185">
        <v>11</v>
      </c>
      <c r="C415" s="186" t="s">
        <v>753</v>
      </c>
      <c r="D415" s="186" t="s">
        <v>728</v>
      </c>
      <c r="E415" s="187"/>
      <c r="F415" s="187">
        <v>28379484</v>
      </c>
      <c r="G415" s="187"/>
      <c r="H415" s="188">
        <v>80111600</v>
      </c>
      <c r="I415" s="189" t="s">
        <v>716</v>
      </c>
      <c r="J415" s="206">
        <v>1</v>
      </c>
      <c r="K415" s="206">
        <v>1</v>
      </c>
      <c r="L415" s="206">
        <v>12</v>
      </c>
      <c r="M415" s="185">
        <v>1</v>
      </c>
      <c r="N415" s="193" t="s">
        <v>210</v>
      </c>
      <c r="O415" s="194" t="s">
        <v>264</v>
      </c>
      <c r="P415" s="195">
        <v>1</v>
      </c>
      <c r="Q415" s="196">
        <f t="shared" si="106"/>
        <v>28379484</v>
      </c>
      <c r="R415" s="196">
        <f t="shared" si="107"/>
        <v>28379484</v>
      </c>
      <c r="S415" s="271">
        <v>0</v>
      </c>
      <c r="T415" s="193">
        <v>0</v>
      </c>
      <c r="U415" s="198" t="str">
        <f t="shared" si="108"/>
        <v>SUBDIRECCION DE GESTION CONTRACTUAL</v>
      </c>
      <c r="V415" s="185" t="str">
        <f t="shared" si="109"/>
        <v>CO-DC</v>
      </c>
      <c r="W415" s="198" t="str">
        <f t="shared" si="110"/>
        <v>Distrito Capital de Bogotá</v>
      </c>
      <c r="X415" s="199" t="s">
        <v>717</v>
      </c>
      <c r="Y415" s="185">
        <v>2427400</v>
      </c>
      <c r="Z415" s="200" t="s">
        <v>718</v>
      </c>
    </row>
    <row r="416" spans="1:85" s="7" customFormat="1" ht="12.75" customHeight="1" x14ac:dyDescent="0.2">
      <c r="A416" s="184" t="s">
        <v>714</v>
      </c>
      <c r="B416" s="185">
        <v>12</v>
      </c>
      <c r="C416" s="186" t="s">
        <v>753</v>
      </c>
      <c r="D416" s="186" t="s">
        <v>729</v>
      </c>
      <c r="E416" s="187"/>
      <c r="F416" s="187">
        <v>18919652</v>
      </c>
      <c r="G416" s="187"/>
      <c r="H416" s="188">
        <v>80111600</v>
      </c>
      <c r="I416" s="189" t="s">
        <v>716</v>
      </c>
      <c r="J416" s="206">
        <v>1</v>
      </c>
      <c r="K416" s="206">
        <v>1</v>
      </c>
      <c r="L416" s="206">
        <v>12</v>
      </c>
      <c r="M416" s="185">
        <v>1</v>
      </c>
      <c r="N416" s="193" t="s">
        <v>210</v>
      </c>
      <c r="O416" s="194" t="s">
        <v>264</v>
      </c>
      <c r="P416" s="195">
        <v>1</v>
      </c>
      <c r="Q416" s="196">
        <f t="shared" si="106"/>
        <v>18919652</v>
      </c>
      <c r="R416" s="196">
        <f t="shared" si="107"/>
        <v>18919652</v>
      </c>
      <c r="S416" s="271">
        <v>0</v>
      </c>
      <c r="T416" s="193">
        <v>0</v>
      </c>
      <c r="U416" s="198" t="str">
        <f t="shared" si="108"/>
        <v>SUBDIRECCION DE GESTION CONTRACTUAL</v>
      </c>
      <c r="V416" s="185" t="str">
        <f t="shared" si="109"/>
        <v>CO-DC</v>
      </c>
      <c r="W416" s="198" t="str">
        <f t="shared" si="110"/>
        <v>Distrito Capital de Bogotá</v>
      </c>
      <c r="X416" s="199" t="s">
        <v>717</v>
      </c>
      <c r="Y416" s="185">
        <v>2427400</v>
      </c>
      <c r="Z416" s="200" t="s">
        <v>718</v>
      </c>
    </row>
    <row r="417" spans="1:85" s="7" customFormat="1" ht="12.75" customHeight="1" x14ac:dyDescent="0.2">
      <c r="A417" s="184" t="s">
        <v>714</v>
      </c>
      <c r="B417" s="185">
        <v>13</v>
      </c>
      <c r="C417" s="186" t="s">
        <v>754</v>
      </c>
      <c r="D417" s="186" t="s">
        <v>730</v>
      </c>
      <c r="E417" s="187"/>
      <c r="F417" s="187">
        <f>12327150+44341542</f>
        <v>56668692</v>
      </c>
      <c r="G417" s="187"/>
      <c r="H417" s="188">
        <v>80111600</v>
      </c>
      <c r="I417" s="189" t="s">
        <v>716</v>
      </c>
      <c r="J417" s="206">
        <v>1</v>
      </c>
      <c r="K417" s="206">
        <v>1</v>
      </c>
      <c r="L417" s="206">
        <v>12</v>
      </c>
      <c r="M417" s="185">
        <v>1</v>
      </c>
      <c r="N417" s="193" t="s">
        <v>210</v>
      </c>
      <c r="O417" s="194" t="s">
        <v>264</v>
      </c>
      <c r="P417" s="195">
        <v>1</v>
      </c>
      <c r="Q417" s="196">
        <f t="shared" si="106"/>
        <v>56668692</v>
      </c>
      <c r="R417" s="196">
        <f t="shared" si="107"/>
        <v>56668692</v>
      </c>
      <c r="S417" s="271">
        <v>0</v>
      </c>
      <c r="T417" s="193">
        <v>0</v>
      </c>
      <c r="U417" s="198" t="str">
        <f t="shared" si="108"/>
        <v>SUBDIRECCION DE GESTION CONTRACTUAL</v>
      </c>
      <c r="V417" s="185" t="str">
        <f t="shared" si="109"/>
        <v>CO-DC</v>
      </c>
      <c r="W417" s="198" t="str">
        <f t="shared" si="110"/>
        <v>Distrito Capital de Bogotá</v>
      </c>
      <c r="X417" s="199" t="s">
        <v>717</v>
      </c>
      <c r="Y417" s="185">
        <v>2427400</v>
      </c>
      <c r="Z417" s="200" t="s">
        <v>718</v>
      </c>
    </row>
    <row r="418" spans="1:85" s="7" customFormat="1" ht="12.75" customHeight="1" x14ac:dyDescent="0.2">
      <c r="A418" s="184" t="s">
        <v>714</v>
      </c>
      <c r="B418" s="185">
        <v>14</v>
      </c>
      <c r="C418" s="186" t="s">
        <v>754</v>
      </c>
      <c r="D418" s="186" t="s">
        <v>731</v>
      </c>
      <c r="E418" s="187"/>
      <c r="F418" s="187">
        <f>40945378+113063164</f>
        <v>154008542</v>
      </c>
      <c r="G418" s="187"/>
      <c r="H418" s="188">
        <v>80111600</v>
      </c>
      <c r="I418" s="189" t="s">
        <v>716</v>
      </c>
      <c r="J418" s="206">
        <v>1</v>
      </c>
      <c r="K418" s="206">
        <v>1</v>
      </c>
      <c r="L418" s="206">
        <v>12</v>
      </c>
      <c r="M418" s="185">
        <v>1</v>
      </c>
      <c r="N418" s="193" t="s">
        <v>210</v>
      </c>
      <c r="O418" s="194" t="s">
        <v>264</v>
      </c>
      <c r="P418" s="195">
        <v>1</v>
      </c>
      <c r="Q418" s="196">
        <f t="shared" si="106"/>
        <v>154008542</v>
      </c>
      <c r="R418" s="196">
        <f t="shared" si="107"/>
        <v>154008542</v>
      </c>
      <c r="S418" s="271">
        <v>0</v>
      </c>
      <c r="T418" s="193">
        <v>0</v>
      </c>
      <c r="U418" s="198" t="str">
        <f t="shared" si="108"/>
        <v>SUBDIRECCION DE GESTION CONTRACTUAL</v>
      </c>
      <c r="V418" s="185" t="str">
        <f t="shared" si="109"/>
        <v>CO-DC</v>
      </c>
      <c r="W418" s="198" t="str">
        <f t="shared" si="110"/>
        <v>Distrito Capital de Bogotá</v>
      </c>
      <c r="X418" s="199" t="s">
        <v>717</v>
      </c>
      <c r="Y418" s="185">
        <v>2427400</v>
      </c>
      <c r="Z418" s="200" t="s">
        <v>718</v>
      </c>
    </row>
    <row r="419" spans="1:85" s="7" customFormat="1" ht="12.75" customHeight="1" x14ac:dyDescent="0.2">
      <c r="A419" s="184" t="s">
        <v>714</v>
      </c>
      <c r="B419" s="185">
        <v>15</v>
      </c>
      <c r="C419" s="186" t="s">
        <v>754</v>
      </c>
      <c r="D419" s="186" t="s">
        <v>732</v>
      </c>
      <c r="E419" s="187"/>
      <c r="F419" s="187">
        <f>49927238+83123639</f>
        <v>133050877</v>
      </c>
      <c r="G419" s="187"/>
      <c r="H419" s="188">
        <v>80111600</v>
      </c>
      <c r="I419" s="189" t="s">
        <v>716</v>
      </c>
      <c r="J419" s="206">
        <v>1</v>
      </c>
      <c r="K419" s="206">
        <v>1</v>
      </c>
      <c r="L419" s="206">
        <v>12</v>
      </c>
      <c r="M419" s="185">
        <v>1</v>
      </c>
      <c r="N419" s="193" t="s">
        <v>210</v>
      </c>
      <c r="O419" s="194" t="s">
        <v>264</v>
      </c>
      <c r="P419" s="195">
        <v>1</v>
      </c>
      <c r="Q419" s="196">
        <f t="shared" si="106"/>
        <v>133050877</v>
      </c>
      <c r="R419" s="196">
        <f t="shared" si="107"/>
        <v>133050877</v>
      </c>
      <c r="S419" s="271">
        <v>0</v>
      </c>
      <c r="T419" s="193">
        <v>0</v>
      </c>
      <c r="U419" s="198" t="str">
        <f t="shared" si="108"/>
        <v>SUBDIRECCION DE GESTION CONTRACTUAL</v>
      </c>
      <c r="V419" s="185" t="str">
        <f t="shared" si="109"/>
        <v>CO-DC</v>
      </c>
      <c r="W419" s="198" t="str">
        <f t="shared" si="110"/>
        <v>Distrito Capital de Bogotá</v>
      </c>
      <c r="X419" s="199" t="s">
        <v>717</v>
      </c>
      <c r="Y419" s="185">
        <v>2427400</v>
      </c>
      <c r="Z419" s="200" t="s">
        <v>718</v>
      </c>
    </row>
    <row r="420" spans="1:85" s="132" customFormat="1" ht="13.9" customHeight="1" x14ac:dyDescent="0.2">
      <c r="A420" s="184" t="s">
        <v>714</v>
      </c>
      <c r="B420" s="185">
        <v>16</v>
      </c>
      <c r="C420" s="186" t="s">
        <v>754</v>
      </c>
      <c r="D420" s="186" t="s">
        <v>733</v>
      </c>
      <c r="E420" s="187"/>
      <c r="F420" s="187">
        <v>8218102</v>
      </c>
      <c r="G420" s="187"/>
      <c r="H420" s="188">
        <v>80111600</v>
      </c>
      <c r="I420" s="189" t="s">
        <v>716</v>
      </c>
      <c r="J420" s="206">
        <v>1</v>
      </c>
      <c r="K420" s="206">
        <v>1</v>
      </c>
      <c r="L420" s="206">
        <v>12</v>
      </c>
      <c r="M420" s="185">
        <v>1</v>
      </c>
      <c r="N420" s="193" t="s">
        <v>210</v>
      </c>
      <c r="O420" s="194" t="s">
        <v>264</v>
      </c>
      <c r="P420" s="195">
        <v>1</v>
      </c>
      <c r="Q420" s="196">
        <f t="shared" si="106"/>
        <v>8218102</v>
      </c>
      <c r="R420" s="196">
        <f t="shared" si="107"/>
        <v>8218102</v>
      </c>
      <c r="S420" s="271">
        <v>0</v>
      </c>
      <c r="T420" s="193">
        <v>0</v>
      </c>
      <c r="U420" s="198" t="str">
        <f t="shared" si="108"/>
        <v>SUBDIRECCION DE GESTION CONTRACTUAL</v>
      </c>
      <c r="V420" s="185" t="str">
        <f t="shared" si="109"/>
        <v>CO-DC</v>
      </c>
      <c r="W420" s="198" t="str">
        <f t="shared" si="110"/>
        <v>Distrito Capital de Bogotá</v>
      </c>
      <c r="X420" s="199" t="s">
        <v>717</v>
      </c>
      <c r="Y420" s="185">
        <v>2427400</v>
      </c>
      <c r="Z420" s="200" t="s">
        <v>718</v>
      </c>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row>
    <row r="421" spans="1:85" s="132" customFormat="1" ht="13.9" customHeight="1" x14ac:dyDescent="0.2">
      <c r="A421" s="184" t="s">
        <v>714</v>
      </c>
      <c r="B421" s="185">
        <v>17</v>
      </c>
      <c r="C421" s="186" t="s">
        <v>754</v>
      </c>
      <c r="D421" s="186" t="s">
        <v>734</v>
      </c>
      <c r="E421" s="187"/>
      <c r="F421" s="187">
        <v>27296919</v>
      </c>
      <c r="G421" s="187"/>
      <c r="H421" s="188">
        <v>80111600</v>
      </c>
      <c r="I421" s="189" t="s">
        <v>716</v>
      </c>
      <c r="J421" s="206">
        <v>1</v>
      </c>
      <c r="K421" s="206">
        <v>1</v>
      </c>
      <c r="L421" s="206">
        <v>12</v>
      </c>
      <c r="M421" s="185">
        <v>1</v>
      </c>
      <c r="N421" s="193" t="s">
        <v>210</v>
      </c>
      <c r="O421" s="194" t="s">
        <v>264</v>
      </c>
      <c r="P421" s="195">
        <v>1</v>
      </c>
      <c r="Q421" s="196">
        <f t="shared" si="106"/>
        <v>27296919</v>
      </c>
      <c r="R421" s="196">
        <f t="shared" si="107"/>
        <v>27296919</v>
      </c>
      <c r="S421" s="271">
        <v>0</v>
      </c>
      <c r="T421" s="193">
        <v>0</v>
      </c>
      <c r="U421" s="198" t="str">
        <f t="shared" si="108"/>
        <v>SUBDIRECCION DE GESTION CONTRACTUAL</v>
      </c>
      <c r="V421" s="185" t="str">
        <f t="shared" si="109"/>
        <v>CO-DC</v>
      </c>
      <c r="W421" s="198" t="str">
        <f t="shared" si="110"/>
        <v>Distrito Capital de Bogotá</v>
      </c>
      <c r="X421" s="199" t="s">
        <v>717</v>
      </c>
      <c r="Y421" s="185">
        <v>2427400</v>
      </c>
      <c r="Z421" s="200" t="s">
        <v>718</v>
      </c>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row>
    <row r="422" spans="1:85" s="132" customFormat="1" ht="13.9" customHeight="1" x14ac:dyDescent="0.2">
      <c r="A422" s="184" t="s">
        <v>714</v>
      </c>
      <c r="B422" s="185">
        <v>18</v>
      </c>
      <c r="C422" s="186" t="s">
        <v>754</v>
      </c>
      <c r="D422" s="186" t="s">
        <v>735</v>
      </c>
      <c r="E422" s="187"/>
      <c r="F422" s="187">
        <v>33284820</v>
      </c>
      <c r="G422" s="187"/>
      <c r="H422" s="188">
        <v>80111600</v>
      </c>
      <c r="I422" s="189" t="s">
        <v>716</v>
      </c>
      <c r="J422" s="206">
        <v>1</v>
      </c>
      <c r="K422" s="206">
        <v>1</v>
      </c>
      <c r="L422" s="206">
        <v>12</v>
      </c>
      <c r="M422" s="185">
        <v>1</v>
      </c>
      <c r="N422" s="193" t="s">
        <v>210</v>
      </c>
      <c r="O422" s="194" t="s">
        <v>264</v>
      </c>
      <c r="P422" s="195">
        <v>1</v>
      </c>
      <c r="Q422" s="196">
        <f t="shared" ref="Q422:Q453" si="111">+E422+F422+G422</f>
        <v>33284820</v>
      </c>
      <c r="R422" s="196">
        <f t="shared" ref="R422:R453" si="112">+F422</f>
        <v>33284820</v>
      </c>
      <c r="S422" s="271">
        <v>0</v>
      </c>
      <c r="T422" s="193">
        <v>0</v>
      </c>
      <c r="U422" s="198" t="str">
        <f t="shared" si="108"/>
        <v>SUBDIRECCION DE GESTION CONTRACTUAL</v>
      </c>
      <c r="V422" s="185" t="str">
        <f t="shared" si="109"/>
        <v>CO-DC</v>
      </c>
      <c r="W422" s="198" t="str">
        <f t="shared" si="110"/>
        <v>Distrito Capital de Bogotá</v>
      </c>
      <c r="X422" s="199" t="s">
        <v>717</v>
      </c>
      <c r="Y422" s="185">
        <v>2427400</v>
      </c>
      <c r="Z422" s="200" t="s">
        <v>718</v>
      </c>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row>
    <row r="423" spans="1:85" s="132" customFormat="1" ht="13.9" customHeight="1" x14ac:dyDescent="0.2">
      <c r="A423" s="184" t="s">
        <v>714</v>
      </c>
      <c r="B423" s="185">
        <v>19</v>
      </c>
      <c r="C423" s="186" t="s">
        <v>754</v>
      </c>
      <c r="D423" s="186" t="s">
        <v>736</v>
      </c>
      <c r="E423" s="187"/>
      <c r="F423" s="187">
        <v>12327150</v>
      </c>
      <c r="G423" s="187"/>
      <c r="H423" s="188">
        <v>80111600</v>
      </c>
      <c r="I423" s="189" t="s">
        <v>716</v>
      </c>
      <c r="J423" s="206">
        <v>1</v>
      </c>
      <c r="K423" s="206">
        <v>1</v>
      </c>
      <c r="L423" s="206">
        <v>12</v>
      </c>
      <c r="M423" s="185">
        <v>1</v>
      </c>
      <c r="N423" s="193" t="s">
        <v>210</v>
      </c>
      <c r="O423" s="194" t="s">
        <v>264</v>
      </c>
      <c r="P423" s="195">
        <v>1</v>
      </c>
      <c r="Q423" s="196">
        <f t="shared" si="111"/>
        <v>12327150</v>
      </c>
      <c r="R423" s="196">
        <f t="shared" si="112"/>
        <v>12327150</v>
      </c>
      <c r="S423" s="271">
        <v>0</v>
      </c>
      <c r="T423" s="193">
        <v>0</v>
      </c>
      <c r="U423" s="198" t="str">
        <f t="shared" si="108"/>
        <v>SUBDIRECCION DE GESTION CONTRACTUAL</v>
      </c>
      <c r="V423" s="185" t="str">
        <f t="shared" si="109"/>
        <v>CO-DC</v>
      </c>
      <c r="W423" s="198" t="str">
        <f t="shared" si="110"/>
        <v>Distrito Capital de Bogotá</v>
      </c>
      <c r="X423" s="199" t="s">
        <v>717</v>
      </c>
      <c r="Y423" s="185">
        <v>2427400</v>
      </c>
      <c r="Z423" s="200" t="s">
        <v>718</v>
      </c>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row>
    <row r="424" spans="1:85" s="132" customFormat="1" ht="13.9" customHeight="1" x14ac:dyDescent="0.2">
      <c r="A424" s="184" t="s">
        <v>714</v>
      </c>
      <c r="B424" s="185">
        <v>20</v>
      </c>
      <c r="C424" s="186" t="s">
        <v>754</v>
      </c>
      <c r="D424" s="186" t="s">
        <v>737</v>
      </c>
      <c r="E424" s="187"/>
      <c r="F424" s="187">
        <v>40945375</v>
      </c>
      <c r="G424" s="187"/>
      <c r="H424" s="188">
        <v>80111600</v>
      </c>
      <c r="I424" s="189" t="s">
        <v>716</v>
      </c>
      <c r="J424" s="206">
        <v>1</v>
      </c>
      <c r="K424" s="206">
        <v>1</v>
      </c>
      <c r="L424" s="206">
        <v>12</v>
      </c>
      <c r="M424" s="185">
        <v>1</v>
      </c>
      <c r="N424" s="193" t="s">
        <v>210</v>
      </c>
      <c r="O424" s="194" t="s">
        <v>264</v>
      </c>
      <c r="P424" s="195">
        <v>1</v>
      </c>
      <c r="Q424" s="196">
        <f t="shared" si="111"/>
        <v>40945375</v>
      </c>
      <c r="R424" s="196">
        <f t="shared" si="112"/>
        <v>40945375</v>
      </c>
      <c r="S424" s="271">
        <v>0</v>
      </c>
      <c r="T424" s="193">
        <v>0</v>
      </c>
      <c r="U424" s="198" t="str">
        <f t="shared" si="108"/>
        <v>SUBDIRECCION DE GESTION CONTRACTUAL</v>
      </c>
      <c r="V424" s="185" t="str">
        <f t="shared" si="109"/>
        <v>CO-DC</v>
      </c>
      <c r="W424" s="198" t="str">
        <f t="shared" si="110"/>
        <v>Distrito Capital de Bogotá</v>
      </c>
      <c r="X424" s="199" t="s">
        <v>717</v>
      </c>
      <c r="Y424" s="185">
        <v>2427400</v>
      </c>
      <c r="Z424" s="200" t="s">
        <v>718</v>
      </c>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row>
    <row r="425" spans="1:85" s="139" customFormat="1" ht="13.9" customHeight="1" x14ac:dyDescent="0.2">
      <c r="A425" s="184" t="s">
        <v>714</v>
      </c>
      <c r="B425" s="185">
        <v>21</v>
      </c>
      <c r="C425" s="186" t="s">
        <v>754</v>
      </c>
      <c r="D425" s="186" t="s">
        <v>738</v>
      </c>
      <c r="E425" s="187"/>
      <c r="F425" s="187">
        <v>49927238</v>
      </c>
      <c r="G425" s="187"/>
      <c r="H425" s="188">
        <v>80111600</v>
      </c>
      <c r="I425" s="189" t="s">
        <v>716</v>
      </c>
      <c r="J425" s="206">
        <v>1</v>
      </c>
      <c r="K425" s="206">
        <v>1</v>
      </c>
      <c r="L425" s="206">
        <v>12</v>
      </c>
      <c r="M425" s="185">
        <v>1</v>
      </c>
      <c r="N425" s="193" t="s">
        <v>210</v>
      </c>
      <c r="O425" s="194" t="s">
        <v>264</v>
      </c>
      <c r="P425" s="195">
        <v>1</v>
      </c>
      <c r="Q425" s="196">
        <f t="shared" si="111"/>
        <v>49927238</v>
      </c>
      <c r="R425" s="196">
        <f t="shared" si="112"/>
        <v>49927238</v>
      </c>
      <c r="S425" s="271">
        <v>0</v>
      </c>
      <c r="T425" s="193">
        <v>0</v>
      </c>
      <c r="U425" s="198" t="str">
        <f t="shared" si="108"/>
        <v>SUBDIRECCION DE GESTION CONTRACTUAL</v>
      </c>
      <c r="V425" s="185" t="str">
        <f t="shared" si="109"/>
        <v>CO-DC</v>
      </c>
      <c r="W425" s="198" t="str">
        <f t="shared" si="110"/>
        <v>Distrito Capital de Bogotá</v>
      </c>
      <c r="X425" s="199" t="s">
        <v>717</v>
      </c>
      <c r="Y425" s="185">
        <v>2427400</v>
      </c>
      <c r="Z425" s="200" t="s">
        <v>718</v>
      </c>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138"/>
    </row>
    <row r="426" spans="1:85" s="139" customFormat="1" ht="13.9" customHeight="1" x14ac:dyDescent="0.2">
      <c r="A426" s="184" t="s">
        <v>714</v>
      </c>
      <c r="B426" s="185">
        <v>22</v>
      </c>
      <c r="C426" s="186" t="s">
        <v>754</v>
      </c>
      <c r="D426" s="186" t="s">
        <v>739</v>
      </c>
      <c r="E426" s="187"/>
      <c r="F426" s="187">
        <v>8218102</v>
      </c>
      <c r="G426" s="187"/>
      <c r="H426" s="188">
        <v>80111600</v>
      </c>
      <c r="I426" s="189" t="s">
        <v>716</v>
      </c>
      <c r="J426" s="206">
        <v>1</v>
      </c>
      <c r="K426" s="206">
        <v>1</v>
      </c>
      <c r="L426" s="206">
        <v>12</v>
      </c>
      <c r="M426" s="185">
        <v>1</v>
      </c>
      <c r="N426" s="193" t="s">
        <v>210</v>
      </c>
      <c r="O426" s="194" t="s">
        <v>264</v>
      </c>
      <c r="P426" s="195">
        <v>1</v>
      </c>
      <c r="Q426" s="196">
        <f t="shared" si="111"/>
        <v>8218102</v>
      </c>
      <c r="R426" s="196">
        <f t="shared" si="112"/>
        <v>8218102</v>
      </c>
      <c r="S426" s="271">
        <v>0</v>
      </c>
      <c r="T426" s="193">
        <v>0</v>
      </c>
      <c r="U426" s="198" t="str">
        <f t="shared" si="108"/>
        <v>SUBDIRECCION DE GESTION CONTRACTUAL</v>
      </c>
      <c r="V426" s="185" t="str">
        <f t="shared" si="109"/>
        <v>CO-DC</v>
      </c>
      <c r="W426" s="198" t="str">
        <f t="shared" si="110"/>
        <v>Distrito Capital de Bogotá</v>
      </c>
      <c r="X426" s="199" t="s">
        <v>717</v>
      </c>
      <c r="Y426" s="185">
        <v>2427400</v>
      </c>
      <c r="Z426" s="200" t="s">
        <v>718</v>
      </c>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138"/>
    </row>
    <row r="427" spans="1:85" s="139" customFormat="1" ht="13.9" customHeight="1" x14ac:dyDescent="0.2">
      <c r="A427" s="184" t="s">
        <v>714</v>
      </c>
      <c r="B427" s="185">
        <v>23</v>
      </c>
      <c r="C427" s="186" t="s">
        <v>754</v>
      </c>
      <c r="D427" s="186" t="s">
        <v>740</v>
      </c>
      <c r="E427" s="187"/>
      <c r="F427" s="187">
        <v>27296919</v>
      </c>
      <c r="G427" s="187"/>
      <c r="H427" s="188">
        <v>80111600</v>
      </c>
      <c r="I427" s="189" t="s">
        <v>716</v>
      </c>
      <c r="J427" s="206">
        <v>1</v>
      </c>
      <c r="K427" s="206">
        <v>1</v>
      </c>
      <c r="L427" s="206">
        <v>12</v>
      </c>
      <c r="M427" s="185">
        <v>1</v>
      </c>
      <c r="N427" s="193" t="s">
        <v>210</v>
      </c>
      <c r="O427" s="194" t="s">
        <v>264</v>
      </c>
      <c r="P427" s="195">
        <v>1</v>
      </c>
      <c r="Q427" s="196">
        <f t="shared" si="111"/>
        <v>27296919</v>
      </c>
      <c r="R427" s="196">
        <f t="shared" si="112"/>
        <v>27296919</v>
      </c>
      <c r="S427" s="271">
        <v>0</v>
      </c>
      <c r="T427" s="193">
        <v>0</v>
      </c>
      <c r="U427" s="198" t="str">
        <f t="shared" si="108"/>
        <v>SUBDIRECCION DE GESTION CONTRACTUAL</v>
      </c>
      <c r="V427" s="185" t="str">
        <f t="shared" si="109"/>
        <v>CO-DC</v>
      </c>
      <c r="W427" s="198" t="str">
        <f t="shared" si="110"/>
        <v>Distrito Capital de Bogotá</v>
      </c>
      <c r="X427" s="199" t="s">
        <v>717</v>
      </c>
      <c r="Y427" s="185">
        <v>2427400</v>
      </c>
      <c r="Z427" s="200" t="s">
        <v>718</v>
      </c>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138"/>
    </row>
    <row r="428" spans="1:85" s="139" customFormat="1" ht="13.9" customHeight="1" x14ac:dyDescent="0.2">
      <c r="A428" s="184" t="s">
        <v>714</v>
      </c>
      <c r="B428" s="185">
        <v>24</v>
      </c>
      <c r="C428" s="186" t="s">
        <v>754</v>
      </c>
      <c r="D428" s="186" t="s">
        <v>741</v>
      </c>
      <c r="E428" s="187"/>
      <c r="F428" s="187">
        <v>33284820</v>
      </c>
      <c r="G428" s="187"/>
      <c r="H428" s="188">
        <v>80111600</v>
      </c>
      <c r="I428" s="189" t="s">
        <v>716</v>
      </c>
      <c r="J428" s="206">
        <v>1</v>
      </c>
      <c r="K428" s="206">
        <v>1</v>
      </c>
      <c r="L428" s="206">
        <v>12</v>
      </c>
      <c r="M428" s="185">
        <v>1</v>
      </c>
      <c r="N428" s="193" t="s">
        <v>210</v>
      </c>
      <c r="O428" s="194" t="s">
        <v>264</v>
      </c>
      <c r="P428" s="195">
        <v>1</v>
      </c>
      <c r="Q428" s="196">
        <f t="shared" si="111"/>
        <v>33284820</v>
      </c>
      <c r="R428" s="196">
        <f t="shared" si="112"/>
        <v>33284820</v>
      </c>
      <c r="S428" s="271">
        <v>0</v>
      </c>
      <c r="T428" s="193">
        <v>0</v>
      </c>
      <c r="U428" s="198" t="str">
        <f t="shared" si="108"/>
        <v>SUBDIRECCION DE GESTION CONTRACTUAL</v>
      </c>
      <c r="V428" s="185" t="str">
        <f t="shared" si="109"/>
        <v>CO-DC</v>
      </c>
      <c r="W428" s="198" t="str">
        <f t="shared" si="110"/>
        <v>Distrito Capital de Bogotá</v>
      </c>
      <c r="X428" s="199" t="s">
        <v>717</v>
      </c>
      <c r="Y428" s="185">
        <v>2427400</v>
      </c>
      <c r="Z428" s="200" t="s">
        <v>718</v>
      </c>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138"/>
    </row>
    <row r="429" spans="1:85" s="139" customFormat="1" ht="13.9" customHeight="1" x14ac:dyDescent="0.2">
      <c r="A429" s="184" t="s">
        <v>714</v>
      </c>
      <c r="B429" s="185">
        <v>25</v>
      </c>
      <c r="C429" s="186" t="s">
        <v>755</v>
      </c>
      <c r="D429" s="186" t="s">
        <v>731</v>
      </c>
      <c r="E429" s="187"/>
      <c r="F429" s="187">
        <f>57236447+16043580</f>
        <v>73280027</v>
      </c>
      <c r="G429" s="187"/>
      <c r="H429" s="188">
        <v>80111600</v>
      </c>
      <c r="I429" s="189" t="s">
        <v>716</v>
      </c>
      <c r="J429" s="206">
        <v>1</v>
      </c>
      <c r="K429" s="206">
        <v>1</v>
      </c>
      <c r="L429" s="206">
        <v>12</v>
      </c>
      <c r="M429" s="185">
        <v>1</v>
      </c>
      <c r="N429" s="193" t="s">
        <v>210</v>
      </c>
      <c r="O429" s="194" t="s">
        <v>264</v>
      </c>
      <c r="P429" s="195">
        <v>1</v>
      </c>
      <c r="Q429" s="196">
        <f t="shared" si="111"/>
        <v>73280027</v>
      </c>
      <c r="R429" s="196">
        <f t="shared" si="112"/>
        <v>73280027</v>
      </c>
      <c r="S429" s="271">
        <v>0</v>
      </c>
      <c r="T429" s="193">
        <v>0</v>
      </c>
      <c r="U429" s="198" t="str">
        <f t="shared" si="108"/>
        <v>SUBDIRECCION DE GESTION CONTRACTUAL</v>
      </c>
      <c r="V429" s="185" t="str">
        <f t="shared" si="109"/>
        <v>CO-DC</v>
      </c>
      <c r="W429" s="198" t="str">
        <f t="shared" si="110"/>
        <v>Distrito Capital de Bogotá</v>
      </c>
      <c r="X429" s="199" t="s">
        <v>717</v>
      </c>
      <c r="Y429" s="185">
        <v>2427400</v>
      </c>
      <c r="Z429" s="200" t="s">
        <v>718</v>
      </c>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138"/>
    </row>
    <row r="430" spans="1:85" s="139" customFormat="1" ht="13.9" customHeight="1" x14ac:dyDescent="0.2">
      <c r="A430" s="184" t="s">
        <v>714</v>
      </c>
      <c r="B430" s="185">
        <v>26</v>
      </c>
      <c r="C430" s="186" t="s">
        <v>755</v>
      </c>
      <c r="D430" s="186" t="s">
        <v>734</v>
      </c>
      <c r="E430" s="187"/>
      <c r="F430" s="187">
        <v>38157629</v>
      </c>
      <c r="G430" s="187"/>
      <c r="H430" s="188">
        <v>80111600</v>
      </c>
      <c r="I430" s="189" t="s">
        <v>716</v>
      </c>
      <c r="J430" s="206">
        <v>1</v>
      </c>
      <c r="K430" s="206">
        <v>1</v>
      </c>
      <c r="L430" s="206">
        <v>12</v>
      </c>
      <c r="M430" s="185">
        <v>1</v>
      </c>
      <c r="N430" s="193" t="s">
        <v>210</v>
      </c>
      <c r="O430" s="194" t="s">
        <v>264</v>
      </c>
      <c r="P430" s="195">
        <v>1</v>
      </c>
      <c r="Q430" s="196">
        <f t="shared" si="111"/>
        <v>38157629</v>
      </c>
      <c r="R430" s="196">
        <f t="shared" si="112"/>
        <v>38157629</v>
      </c>
      <c r="S430" s="271">
        <v>0</v>
      </c>
      <c r="T430" s="193">
        <v>0</v>
      </c>
      <c r="U430" s="198" t="str">
        <f t="shared" si="108"/>
        <v>SUBDIRECCION DE GESTION CONTRACTUAL</v>
      </c>
      <c r="V430" s="185" t="str">
        <f t="shared" si="109"/>
        <v>CO-DC</v>
      </c>
      <c r="W430" s="198" t="str">
        <f t="shared" si="110"/>
        <v>Distrito Capital de Bogotá</v>
      </c>
      <c r="X430" s="199" t="s">
        <v>717</v>
      </c>
      <c r="Y430" s="185">
        <v>2427400</v>
      </c>
      <c r="Z430" s="200" t="s">
        <v>718</v>
      </c>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138"/>
    </row>
    <row r="431" spans="1:85" s="136" customFormat="1" ht="12.75" customHeight="1" x14ac:dyDescent="0.2">
      <c r="A431" s="184" t="s">
        <v>714</v>
      </c>
      <c r="B431" s="185">
        <v>27</v>
      </c>
      <c r="C431" s="186" t="s">
        <v>755</v>
      </c>
      <c r="D431" s="186" t="s">
        <v>737</v>
      </c>
      <c r="E431" s="187"/>
      <c r="F431" s="187">
        <v>57236447</v>
      </c>
      <c r="G431" s="187"/>
      <c r="H431" s="188">
        <v>80111600</v>
      </c>
      <c r="I431" s="189" t="s">
        <v>716</v>
      </c>
      <c r="J431" s="206">
        <v>1</v>
      </c>
      <c r="K431" s="206">
        <v>1</v>
      </c>
      <c r="L431" s="206">
        <v>12</v>
      </c>
      <c r="M431" s="185">
        <v>1</v>
      </c>
      <c r="N431" s="193" t="s">
        <v>210</v>
      </c>
      <c r="O431" s="194" t="s">
        <v>264</v>
      </c>
      <c r="P431" s="195">
        <v>1</v>
      </c>
      <c r="Q431" s="196">
        <f t="shared" si="111"/>
        <v>57236447</v>
      </c>
      <c r="R431" s="196">
        <f t="shared" si="112"/>
        <v>57236447</v>
      </c>
      <c r="S431" s="271">
        <v>0</v>
      </c>
      <c r="T431" s="193">
        <v>0</v>
      </c>
      <c r="U431" s="198" t="str">
        <f t="shared" si="108"/>
        <v>SUBDIRECCION DE GESTION CONTRACTUAL</v>
      </c>
      <c r="V431" s="185" t="str">
        <f t="shared" si="109"/>
        <v>CO-DC</v>
      </c>
      <c r="W431" s="198" t="str">
        <f t="shared" si="110"/>
        <v>Distrito Capital de Bogotá</v>
      </c>
      <c r="X431" s="199" t="s">
        <v>717</v>
      </c>
      <c r="Y431" s="185">
        <v>2427400</v>
      </c>
      <c r="Z431" s="200" t="s">
        <v>718</v>
      </c>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138"/>
    </row>
    <row r="432" spans="1:85" s="139" customFormat="1" ht="13.9" customHeight="1" x14ac:dyDescent="0.2">
      <c r="A432" s="184" t="s">
        <v>714</v>
      </c>
      <c r="B432" s="185">
        <v>28</v>
      </c>
      <c r="C432" s="186" t="s">
        <v>755</v>
      </c>
      <c r="D432" s="186" t="s">
        <v>740</v>
      </c>
      <c r="E432" s="187"/>
      <c r="F432" s="187">
        <v>38157629</v>
      </c>
      <c r="G432" s="187"/>
      <c r="H432" s="188">
        <v>80111600</v>
      </c>
      <c r="I432" s="189" t="s">
        <v>716</v>
      </c>
      <c r="J432" s="206">
        <v>1</v>
      </c>
      <c r="K432" s="206">
        <v>1</v>
      </c>
      <c r="L432" s="206">
        <v>12</v>
      </c>
      <c r="M432" s="185">
        <v>1</v>
      </c>
      <c r="N432" s="193" t="s">
        <v>210</v>
      </c>
      <c r="O432" s="194" t="s">
        <v>264</v>
      </c>
      <c r="P432" s="195">
        <v>1</v>
      </c>
      <c r="Q432" s="196">
        <f t="shared" si="111"/>
        <v>38157629</v>
      </c>
      <c r="R432" s="196">
        <f t="shared" si="112"/>
        <v>38157629</v>
      </c>
      <c r="S432" s="271">
        <v>0</v>
      </c>
      <c r="T432" s="193">
        <v>0</v>
      </c>
      <c r="U432" s="198" t="str">
        <f t="shared" si="108"/>
        <v>SUBDIRECCION DE GESTION CONTRACTUAL</v>
      </c>
      <c r="V432" s="185" t="str">
        <f t="shared" si="109"/>
        <v>CO-DC</v>
      </c>
      <c r="W432" s="198" t="str">
        <f t="shared" si="110"/>
        <v>Distrito Capital de Bogotá</v>
      </c>
      <c r="X432" s="199" t="s">
        <v>717</v>
      </c>
      <c r="Y432" s="185">
        <v>2427400</v>
      </c>
      <c r="Z432" s="200" t="s">
        <v>718</v>
      </c>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138"/>
    </row>
    <row r="433" spans="1:85" s="139" customFormat="1" ht="13.9" customHeight="1" x14ac:dyDescent="0.2">
      <c r="A433" s="184" t="s">
        <v>714</v>
      </c>
      <c r="B433" s="185">
        <v>29</v>
      </c>
      <c r="C433" s="186" t="s">
        <v>748</v>
      </c>
      <c r="D433" s="186" t="s">
        <v>715</v>
      </c>
      <c r="E433" s="187"/>
      <c r="F433" s="187">
        <f>468091631-292593594</f>
        <v>175498037</v>
      </c>
      <c r="G433" s="187"/>
      <c r="H433" s="188" t="s">
        <v>749</v>
      </c>
      <c r="I433" s="189" t="s">
        <v>742</v>
      </c>
      <c r="J433" s="206">
        <v>1</v>
      </c>
      <c r="K433" s="206">
        <v>2</v>
      </c>
      <c r="L433" s="206">
        <v>10</v>
      </c>
      <c r="M433" s="185">
        <v>1</v>
      </c>
      <c r="N433" s="193" t="s">
        <v>36</v>
      </c>
      <c r="O433" s="194" t="s">
        <v>256</v>
      </c>
      <c r="P433" s="195">
        <v>1</v>
      </c>
      <c r="Q433" s="196">
        <f t="shared" si="111"/>
        <v>175498037</v>
      </c>
      <c r="R433" s="196">
        <f t="shared" si="112"/>
        <v>175498037</v>
      </c>
      <c r="S433" s="271">
        <v>0</v>
      </c>
      <c r="T433" s="193">
        <v>0</v>
      </c>
      <c r="U433" s="198" t="str">
        <f t="shared" si="108"/>
        <v>SUBDIRECCION DE GESTION CONTRACTUAL</v>
      </c>
      <c r="V433" s="185" t="str">
        <f t="shared" si="109"/>
        <v>CO-DC</v>
      </c>
      <c r="W433" s="198" t="str">
        <f t="shared" si="110"/>
        <v>Distrito Capital de Bogotá</v>
      </c>
      <c r="X433" s="199" t="s">
        <v>717</v>
      </c>
      <c r="Y433" s="185">
        <v>2427400</v>
      </c>
      <c r="Z433" s="200" t="s">
        <v>718</v>
      </c>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138"/>
    </row>
    <row r="434" spans="1:85" s="139" customFormat="1" ht="13.9" customHeight="1" x14ac:dyDescent="0.2">
      <c r="A434" s="184" t="s">
        <v>714</v>
      </c>
      <c r="B434" s="185">
        <v>30</v>
      </c>
      <c r="C434" s="186" t="s">
        <v>748</v>
      </c>
      <c r="D434" s="186" t="s">
        <v>719</v>
      </c>
      <c r="E434" s="187"/>
      <c r="F434" s="187">
        <f>312061078-282530593</f>
        <v>29530485</v>
      </c>
      <c r="G434" s="187"/>
      <c r="H434" s="188" t="s">
        <v>749</v>
      </c>
      <c r="I434" s="189" t="s">
        <v>742</v>
      </c>
      <c r="J434" s="206">
        <v>1</v>
      </c>
      <c r="K434" s="206">
        <v>2</v>
      </c>
      <c r="L434" s="206">
        <v>10</v>
      </c>
      <c r="M434" s="185">
        <v>1</v>
      </c>
      <c r="N434" s="193" t="s">
        <v>36</v>
      </c>
      <c r="O434" s="194" t="s">
        <v>256</v>
      </c>
      <c r="P434" s="195">
        <v>1</v>
      </c>
      <c r="Q434" s="196">
        <f t="shared" si="111"/>
        <v>29530485</v>
      </c>
      <c r="R434" s="196">
        <f t="shared" si="112"/>
        <v>29530485</v>
      </c>
      <c r="S434" s="271">
        <v>0</v>
      </c>
      <c r="T434" s="193">
        <v>0</v>
      </c>
      <c r="U434" s="198" t="str">
        <f t="shared" si="108"/>
        <v>SUBDIRECCION DE GESTION CONTRACTUAL</v>
      </c>
      <c r="V434" s="185" t="str">
        <f t="shared" si="109"/>
        <v>CO-DC</v>
      </c>
      <c r="W434" s="198" t="str">
        <f t="shared" si="110"/>
        <v>Distrito Capital de Bogotá</v>
      </c>
      <c r="X434" s="199" t="s">
        <v>717</v>
      </c>
      <c r="Y434" s="185">
        <v>2427400</v>
      </c>
      <c r="Z434" s="200" t="s">
        <v>718</v>
      </c>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138"/>
    </row>
    <row r="435" spans="1:85" s="139" customFormat="1" ht="13.9" customHeight="1" x14ac:dyDescent="0.2">
      <c r="A435" s="184" t="s">
        <v>714</v>
      </c>
      <c r="B435" s="185">
        <v>31</v>
      </c>
      <c r="C435" s="186" t="s">
        <v>748</v>
      </c>
      <c r="D435" s="186" t="s">
        <v>720</v>
      </c>
      <c r="E435" s="187"/>
      <c r="F435" s="187">
        <f>468091618-234045809</f>
        <v>234045809</v>
      </c>
      <c r="G435" s="187"/>
      <c r="H435" s="188" t="s">
        <v>749</v>
      </c>
      <c r="I435" s="189" t="s">
        <v>742</v>
      </c>
      <c r="J435" s="206">
        <v>1</v>
      </c>
      <c r="K435" s="206">
        <v>2</v>
      </c>
      <c r="L435" s="206">
        <v>10</v>
      </c>
      <c r="M435" s="185">
        <v>1</v>
      </c>
      <c r="N435" s="193" t="s">
        <v>36</v>
      </c>
      <c r="O435" s="194" t="s">
        <v>256</v>
      </c>
      <c r="P435" s="195">
        <v>1</v>
      </c>
      <c r="Q435" s="196">
        <f t="shared" si="111"/>
        <v>234045809</v>
      </c>
      <c r="R435" s="196">
        <f t="shared" si="112"/>
        <v>234045809</v>
      </c>
      <c r="S435" s="271">
        <v>0</v>
      </c>
      <c r="T435" s="193">
        <v>0</v>
      </c>
      <c r="U435" s="198" t="str">
        <f t="shared" si="108"/>
        <v>SUBDIRECCION DE GESTION CONTRACTUAL</v>
      </c>
      <c r="V435" s="185" t="str">
        <f t="shared" si="109"/>
        <v>CO-DC</v>
      </c>
      <c r="W435" s="198" t="str">
        <f t="shared" si="110"/>
        <v>Distrito Capital de Bogotá</v>
      </c>
      <c r="X435" s="199" t="s">
        <v>717</v>
      </c>
      <c r="Y435" s="185">
        <v>2427400</v>
      </c>
      <c r="Z435" s="200" t="s">
        <v>718</v>
      </c>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138"/>
    </row>
    <row r="436" spans="1:85" s="139" customFormat="1" ht="13.9" customHeight="1" x14ac:dyDescent="0.2">
      <c r="A436" s="184" t="s">
        <v>714</v>
      </c>
      <c r="B436" s="185">
        <v>32</v>
      </c>
      <c r="C436" s="186" t="s">
        <v>748</v>
      </c>
      <c r="D436" s="186" t="s">
        <v>721</v>
      </c>
      <c r="E436" s="187"/>
      <c r="F436" s="187">
        <f>312061078-156030540</f>
        <v>156030538</v>
      </c>
      <c r="G436" s="187"/>
      <c r="H436" s="188" t="s">
        <v>749</v>
      </c>
      <c r="I436" s="189" t="s">
        <v>742</v>
      </c>
      <c r="J436" s="206">
        <v>1</v>
      </c>
      <c r="K436" s="206">
        <v>2</v>
      </c>
      <c r="L436" s="206">
        <v>10</v>
      </c>
      <c r="M436" s="185">
        <v>1</v>
      </c>
      <c r="N436" s="193" t="s">
        <v>36</v>
      </c>
      <c r="O436" s="194" t="s">
        <v>256</v>
      </c>
      <c r="P436" s="195">
        <v>1</v>
      </c>
      <c r="Q436" s="196">
        <f t="shared" si="111"/>
        <v>156030538</v>
      </c>
      <c r="R436" s="196">
        <f t="shared" si="112"/>
        <v>156030538</v>
      </c>
      <c r="S436" s="271">
        <v>0</v>
      </c>
      <c r="T436" s="193">
        <v>0</v>
      </c>
      <c r="U436" s="198" t="str">
        <f t="shared" si="108"/>
        <v>SUBDIRECCION DE GESTION CONTRACTUAL</v>
      </c>
      <c r="V436" s="185" t="str">
        <f t="shared" si="109"/>
        <v>CO-DC</v>
      </c>
      <c r="W436" s="198" t="str">
        <f t="shared" si="110"/>
        <v>Distrito Capital de Bogotá</v>
      </c>
      <c r="X436" s="199" t="s">
        <v>717</v>
      </c>
      <c r="Y436" s="185">
        <v>2427400</v>
      </c>
      <c r="Z436" s="200" t="s">
        <v>718</v>
      </c>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138"/>
    </row>
    <row r="437" spans="1:85" s="139" customFormat="1" ht="13.9" customHeight="1" x14ac:dyDescent="0.2">
      <c r="A437" s="184" t="s">
        <v>714</v>
      </c>
      <c r="B437" s="185">
        <v>33</v>
      </c>
      <c r="C437" s="186" t="s">
        <v>751</v>
      </c>
      <c r="D437" s="186" t="s">
        <v>722</v>
      </c>
      <c r="E437" s="187"/>
      <c r="F437" s="187">
        <f>743594206-490781977</f>
        <v>252812229</v>
      </c>
      <c r="G437" s="187"/>
      <c r="H437" s="188" t="s">
        <v>749</v>
      </c>
      <c r="I437" s="189" t="s">
        <v>742</v>
      </c>
      <c r="J437" s="206">
        <v>1</v>
      </c>
      <c r="K437" s="206">
        <v>2</v>
      </c>
      <c r="L437" s="206">
        <v>10</v>
      </c>
      <c r="M437" s="185">
        <v>1</v>
      </c>
      <c r="N437" s="193" t="s">
        <v>36</v>
      </c>
      <c r="O437" s="194" t="s">
        <v>256</v>
      </c>
      <c r="P437" s="195">
        <v>1</v>
      </c>
      <c r="Q437" s="196">
        <f t="shared" si="111"/>
        <v>252812229</v>
      </c>
      <c r="R437" s="196">
        <f t="shared" si="112"/>
        <v>252812229</v>
      </c>
      <c r="S437" s="197" t="s">
        <v>217</v>
      </c>
      <c r="T437" s="193">
        <v>0</v>
      </c>
      <c r="U437" s="198" t="str">
        <f t="shared" si="108"/>
        <v>SUBDIRECCION DE GESTION CONTRACTUAL</v>
      </c>
      <c r="V437" s="185" t="str">
        <f t="shared" si="109"/>
        <v>CO-DC</v>
      </c>
      <c r="W437" s="198" t="str">
        <f t="shared" si="110"/>
        <v>Distrito Capital de Bogotá</v>
      </c>
      <c r="X437" s="199" t="s">
        <v>717</v>
      </c>
      <c r="Y437" s="185">
        <v>2427400</v>
      </c>
      <c r="Z437" s="200" t="s">
        <v>718</v>
      </c>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138"/>
    </row>
    <row r="438" spans="1:85" s="139" customFormat="1" ht="13.9" customHeight="1" x14ac:dyDescent="0.2">
      <c r="A438" s="184" t="s">
        <v>714</v>
      </c>
      <c r="B438" s="185">
        <v>34</v>
      </c>
      <c r="C438" s="186" t="s">
        <v>751</v>
      </c>
      <c r="D438" s="186" t="s">
        <v>723</v>
      </c>
      <c r="E438" s="187"/>
      <c r="F438" s="187">
        <f>495729478-247864739</f>
        <v>247864739</v>
      </c>
      <c r="G438" s="187"/>
      <c r="H438" s="188" t="s">
        <v>749</v>
      </c>
      <c r="I438" s="189" t="s">
        <v>742</v>
      </c>
      <c r="J438" s="206">
        <v>1</v>
      </c>
      <c r="K438" s="206">
        <v>2</v>
      </c>
      <c r="L438" s="206">
        <v>10</v>
      </c>
      <c r="M438" s="185">
        <v>1</v>
      </c>
      <c r="N438" s="193" t="s">
        <v>36</v>
      </c>
      <c r="O438" s="194" t="s">
        <v>256</v>
      </c>
      <c r="P438" s="195">
        <v>1</v>
      </c>
      <c r="Q438" s="196">
        <f t="shared" si="111"/>
        <v>247864739</v>
      </c>
      <c r="R438" s="196">
        <f t="shared" si="112"/>
        <v>247864739</v>
      </c>
      <c r="S438" s="197" t="s">
        <v>217</v>
      </c>
      <c r="T438" s="193">
        <v>0</v>
      </c>
      <c r="U438" s="198" t="str">
        <f t="shared" si="108"/>
        <v>SUBDIRECCION DE GESTION CONTRACTUAL</v>
      </c>
      <c r="V438" s="185" t="str">
        <f t="shared" si="109"/>
        <v>CO-DC</v>
      </c>
      <c r="W438" s="198" t="str">
        <f t="shared" si="110"/>
        <v>Distrito Capital de Bogotá</v>
      </c>
      <c r="X438" s="199" t="s">
        <v>717</v>
      </c>
      <c r="Y438" s="185">
        <v>2427400</v>
      </c>
      <c r="Z438" s="200" t="s">
        <v>718</v>
      </c>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138"/>
    </row>
    <row r="439" spans="1:85" s="139" customFormat="1" ht="13.9" customHeight="1" x14ac:dyDescent="0.2">
      <c r="A439" s="184" t="s">
        <v>714</v>
      </c>
      <c r="B439" s="185">
        <v>35</v>
      </c>
      <c r="C439" s="186" t="s">
        <v>751</v>
      </c>
      <c r="D439" s="186" t="s">
        <v>724</v>
      </c>
      <c r="E439" s="187"/>
      <c r="F439" s="187">
        <f>743594207-371797104</f>
        <v>371797103</v>
      </c>
      <c r="G439" s="187"/>
      <c r="H439" s="188" t="s">
        <v>749</v>
      </c>
      <c r="I439" s="189" t="s">
        <v>742</v>
      </c>
      <c r="J439" s="206">
        <v>1</v>
      </c>
      <c r="K439" s="206">
        <v>2</v>
      </c>
      <c r="L439" s="206">
        <v>10</v>
      </c>
      <c r="M439" s="185">
        <v>1</v>
      </c>
      <c r="N439" s="193" t="s">
        <v>36</v>
      </c>
      <c r="O439" s="194" t="s">
        <v>256</v>
      </c>
      <c r="P439" s="195">
        <v>1</v>
      </c>
      <c r="Q439" s="196">
        <f t="shared" si="111"/>
        <v>371797103</v>
      </c>
      <c r="R439" s="196">
        <f t="shared" si="112"/>
        <v>371797103</v>
      </c>
      <c r="S439" s="197" t="s">
        <v>217</v>
      </c>
      <c r="T439" s="193">
        <v>0</v>
      </c>
      <c r="U439" s="198" t="str">
        <f t="shared" si="108"/>
        <v>SUBDIRECCION DE GESTION CONTRACTUAL</v>
      </c>
      <c r="V439" s="185" t="str">
        <f t="shared" si="109"/>
        <v>CO-DC</v>
      </c>
      <c r="W439" s="198" t="str">
        <f t="shared" si="110"/>
        <v>Distrito Capital de Bogotá</v>
      </c>
      <c r="X439" s="199" t="s">
        <v>717</v>
      </c>
      <c r="Y439" s="185">
        <v>2427400</v>
      </c>
      <c r="Z439" s="200" t="s">
        <v>718</v>
      </c>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138"/>
    </row>
    <row r="440" spans="1:85" s="139" customFormat="1" ht="13.9" customHeight="1" x14ac:dyDescent="0.2">
      <c r="A440" s="184" t="s">
        <v>714</v>
      </c>
      <c r="B440" s="185">
        <v>36</v>
      </c>
      <c r="C440" s="186" t="s">
        <v>751</v>
      </c>
      <c r="D440" s="186" t="s">
        <v>725</v>
      </c>
      <c r="E440" s="187"/>
      <c r="F440" s="187">
        <f>495729478-247864739</f>
        <v>247864739</v>
      </c>
      <c r="G440" s="187"/>
      <c r="H440" s="188" t="s">
        <v>749</v>
      </c>
      <c r="I440" s="189" t="s">
        <v>742</v>
      </c>
      <c r="J440" s="206">
        <v>1</v>
      </c>
      <c r="K440" s="206">
        <v>2</v>
      </c>
      <c r="L440" s="206">
        <v>10</v>
      </c>
      <c r="M440" s="185">
        <v>1</v>
      </c>
      <c r="N440" s="193" t="s">
        <v>36</v>
      </c>
      <c r="O440" s="194" t="s">
        <v>256</v>
      </c>
      <c r="P440" s="195">
        <v>1</v>
      </c>
      <c r="Q440" s="196">
        <f t="shared" si="111"/>
        <v>247864739</v>
      </c>
      <c r="R440" s="196">
        <f t="shared" si="112"/>
        <v>247864739</v>
      </c>
      <c r="S440" s="197" t="s">
        <v>217</v>
      </c>
      <c r="T440" s="193">
        <v>0</v>
      </c>
      <c r="U440" s="198" t="str">
        <f t="shared" si="108"/>
        <v>SUBDIRECCION DE GESTION CONTRACTUAL</v>
      </c>
      <c r="V440" s="185" t="str">
        <f t="shared" si="109"/>
        <v>CO-DC</v>
      </c>
      <c r="W440" s="198" t="str">
        <f t="shared" si="110"/>
        <v>Distrito Capital de Bogotá</v>
      </c>
      <c r="X440" s="199" t="s">
        <v>717</v>
      </c>
      <c r="Y440" s="185">
        <v>2427400</v>
      </c>
      <c r="Z440" s="200" t="s">
        <v>718</v>
      </c>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138"/>
    </row>
    <row r="441" spans="1:85" s="139" customFormat="1" ht="13.9" customHeight="1" x14ac:dyDescent="0.2">
      <c r="A441" s="184" t="s">
        <v>714</v>
      </c>
      <c r="B441" s="185">
        <v>37</v>
      </c>
      <c r="C441" s="186" t="s">
        <v>753</v>
      </c>
      <c r="D441" s="186" t="s">
        <v>726</v>
      </c>
      <c r="E441" s="187"/>
      <c r="F441" s="187">
        <v>162218545</v>
      </c>
      <c r="G441" s="187"/>
      <c r="H441" s="188" t="s">
        <v>749</v>
      </c>
      <c r="I441" s="189" t="s">
        <v>742</v>
      </c>
      <c r="J441" s="206">
        <v>1</v>
      </c>
      <c r="K441" s="206">
        <v>2</v>
      </c>
      <c r="L441" s="206">
        <v>11</v>
      </c>
      <c r="M441" s="185">
        <v>1</v>
      </c>
      <c r="N441" s="193" t="s">
        <v>36</v>
      </c>
      <c r="O441" s="194" t="s">
        <v>256</v>
      </c>
      <c r="P441" s="195">
        <v>1</v>
      </c>
      <c r="Q441" s="196">
        <f t="shared" si="111"/>
        <v>162218545</v>
      </c>
      <c r="R441" s="196">
        <f t="shared" si="112"/>
        <v>162218545</v>
      </c>
      <c r="S441" s="197" t="s">
        <v>217</v>
      </c>
      <c r="T441" s="193">
        <v>0</v>
      </c>
      <c r="U441" s="198" t="str">
        <f t="shared" si="108"/>
        <v>SUBDIRECCION DE GESTION CONTRACTUAL</v>
      </c>
      <c r="V441" s="185" t="str">
        <f t="shared" si="109"/>
        <v>CO-DC</v>
      </c>
      <c r="W441" s="198" t="str">
        <f t="shared" si="110"/>
        <v>Distrito Capital de Bogotá</v>
      </c>
      <c r="X441" s="199" t="s">
        <v>717</v>
      </c>
      <c r="Y441" s="185">
        <v>2427400</v>
      </c>
      <c r="Z441" s="200" t="s">
        <v>718</v>
      </c>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138"/>
    </row>
    <row r="442" spans="1:85" s="139" customFormat="1" ht="13.9" customHeight="1" x14ac:dyDescent="0.2">
      <c r="A442" s="184" t="s">
        <v>714</v>
      </c>
      <c r="B442" s="185">
        <v>38</v>
      </c>
      <c r="C442" s="186" t="s">
        <v>753</v>
      </c>
      <c r="D442" s="186" t="s">
        <v>743</v>
      </c>
      <c r="E442" s="187"/>
      <c r="F442" s="187">
        <f>311310809-1</f>
        <v>311310808</v>
      </c>
      <c r="G442" s="187"/>
      <c r="H442" s="188" t="s">
        <v>749</v>
      </c>
      <c r="I442" s="189" t="s">
        <v>742</v>
      </c>
      <c r="J442" s="206">
        <v>1</v>
      </c>
      <c r="K442" s="206">
        <v>2</v>
      </c>
      <c r="L442" s="206">
        <v>10</v>
      </c>
      <c r="M442" s="185">
        <v>1</v>
      </c>
      <c r="N442" s="193" t="s">
        <v>36</v>
      </c>
      <c r="O442" s="194" t="s">
        <v>256</v>
      </c>
      <c r="P442" s="195">
        <v>1</v>
      </c>
      <c r="Q442" s="196">
        <f t="shared" si="111"/>
        <v>311310808</v>
      </c>
      <c r="R442" s="196">
        <f t="shared" si="112"/>
        <v>311310808</v>
      </c>
      <c r="S442" s="197" t="s">
        <v>217</v>
      </c>
      <c r="T442" s="193">
        <v>0</v>
      </c>
      <c r="U442" s="198" t="str">
        <f t="shared" si="108"/>
        <v>SUBDIRECCION DE GESTION CONTRACTUAL</v>
      </c>
      <c r="V442" s="185" t="str">
        <f t="shared" si="109"/>
        <v>CO-DC</v>
      </c>
      <c r="W442" s="198" t="str">
        <f t="shared" si="110"/>
        <v>Distrito Capital de Bogotá</v>
      </c>
      <c r="X442" s="199" t="s">
        <v>717</v>
      </c>
      <c r="Y442" s="185">
        <v>2427400</v>
      </c>
      <c r="Z442" s="200" t="s">
        <v>718</v>
      </c>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138"/>
    </row>
    <row r="443" spans="1:85" s="136" customFormat="1" ht="12.75" customHeight="1" x14ac:dyDescent="0.2">
      <c r="A443" s="184" t="s">
        <v>714</v>
      </c>
      <c r="B443" s="185">
        <v>39</v>
      </c>
      <c r="C443" s="186" t="s">
        <v>753</v>
      </c>
      <c r="D443" s="186" t="s">
        <v>727</v>
      </c>
      <c r="E443" s="187"/>
      <c r="F443" s="187">
        <v>108145701</v>
      </c>
      <c r="G443" s="187"/>
      <c r="H443" s="188" t="s">
        <v>749</v>
      </c>
      <c r="I443" s="189" t="s">
        <v>742</v>
      </c>
      <c r="J443" s="206">
        <v>1</v>
      </c>
      <c r="K443" s="206">
        <v>2</v>
      </c>
      <c r="L443" s="206">
        <v>11</v>
      </c>
      <c r="M443" s="185">
        <v>1</v>
      </c>
      <c r="N443" s="193" t="s">
        <v>36</v>
      </c>
      <c r="O443" s="194" t="s">
        <v>256</v>
      </c>
      <c r="P443" s="195">
        <v>1</v>
      </c>
      <c r="Q443" s="196">
        <f t="shared" si="111"/>
        <v>108145701</v>
      </c>
      <c r="R443" s="196">
        <f t="shared" si="112"/>
        <v>108145701</v>
      </c>
      <c r="S443" s="197" t="s">
        <v>217</v>
      </c>
      <c r="T443" s="193">
        <v>0</v>
      </c>
      <c r="U443" s="198" t="str">
        <f t="shared" si="108"/>
        <v>SUBDIRECCION DE GESTION CONTRACTUAL</v>
      </c>
      <c r="V443" s="185" t="str">
        <f t="shared" si="109"/>
        <v>CO-DC</v>
      </c>
      <c r="W443" s="198" t="str">
        <f t="shared" si="110"/>
        <v>Distrito Capital de Bogotá</v>
      </c>
      <c r="X443" s="199" t="s">
        <v>717</v>
      </c>
      <c r="Y443" s="185">
        <v>2427400</v>
      </c>
      <c r="Z443" s="200" t="s">
        <v>718</v>
      </c>
      <c r="AA443" s="134"/>
      <c r="AB443" s="134"/>
      <c r="AC443" s="134"/>
      <c r="AD443" s="134"/>
      <c r="AE443" s="134"/>
      <c r="AF443" s="134"/>
      <c r="AG443" s="134"/>
      <c r="AH443" s="134"/>
      <c r="AI443" s="134"/>
      <c r="AJ443" s="134"/>
      <c r="AK443" s="134"/>
      <c r="AL443" s="134"/>
      <c r="AM443" s="134"/>
      <c r="AN443" s="134"/>
      <c r="AO443" s="134"/>
      <c r="AP443" s="134"/>
      <c r="AQ443" s="134"/>
      <c r="AR443" s="134"/>
      <c r="AS443" s="134"/>
      <c r="AT443" s="134"/>
      <c r="AU443" s="132"/>
      <c r="AV443" s="132"/>
      <c r="AW443" s="132"/>
      <c r="AX443" s="132"/>
      <c r="AY443" s="132"/>
      <c r="AZ443" s="132"/>
      <c r="BA443" s="132"/>
      <c r="BB443" s="132"/>
      <c r="BC443" s="132"/>
      <c r="BD443" s="132"/>
      <c r="BE443" s="132"/>
      <c r="BF443" s="132"/>
      <c r="BG443" s="132"/>
      <c r="BH443" s="132"/>
      <c r="BI443" s="132"/>
      <c r="BJ443" s="132"/>
      <c r="BK443" s="132"/>
      <c r="BL443" s="132"/>
      <c r="BM443" s="132"/>
      <c r="BN443" s="132"/>
      <c r="BO443" s="132"/>
      <c r="BP443" s="132"/>
      <c r="BQ443" s="132"/>
      <c r="BR443" s="132"/>
      <c r="BS443" s="132"/>
      <c r="BT443" s="132"/>
      <c r="BU443" s="132"/>
      <c r="BV443" s="132"/>
      <c r="BW443" s="132"/>
      <c r="BX443" s="132"/>
      <c r="BY443" s="132"/>
      <c r="BZ443" s="132"/>
      <c r="CA443" s="132"/>
      <c r="CB443" s="132"/>
      <c r="CC443" s="132"/>
      <c r="CD443" s="132"/>
      <c r="CE443" s="132"/>
      <c r="CF443" s="132"/>
      <c r="CG443" s="140"/>
    </row>
    <row r="444" spans="1:85" s="139" customFormat="1" ht="13.9" customHeight="1" x14ac:dyDescent="0.2">
      <c r="A444" s="184" t="s">
        <v>714</v>
      </c>
      <c r="B444" s="185">
        <v>40</v>
      </c>
      <c r="C444" s="186" t="s">
        <v>753</v>
      </c>
      <c r="D444" s="186" t="s">
        <v>744</v>
      </c>
      <c r="E444" s="187"/>
      <c r="F444" s="187">
        <v>207540539</v>
      </c>
      <c r="G444" s="187"/>
      <c r="H444" s="188" t="s">
        <v>749</v>
      </c>
      <c r="I444" s="189" t="s">
        <v>742</v>
      </c>
      <c r="J444" s="206">
        <v>1</v>
      </c>
      <c r="K444" s="206">
        <v>2</v>
      </c>
      <c r="L444" s="206">
        <v>11</v>
      </c>
      <c r="M444" s="185">
        <v>1</v>
      </c>
      <c r="N444" s="193" t="s">
        <v>36</v>
      </c>
      <c r="O444" s="194" t="s">
        <v>256</v>
      </c>
      <c r="P444" s="195">
        <v>1</v>
      </c>
      <c r="Q444" s="196">
        <f t="shared" si="111"/>
        <v>207540539</v>
      </c>
      <c r="R444" s="196">
        <f t="shared" si="112"/>
        <v>207540539</v>
      </c>
      <c r="S444" s="197" t="s">
        <v>217</v>
      </c>
      <c r="T444" s="193">
        <v>0</v>
      </c>
      <c r="U444" s="198" t="str">
        <f t="shared" si="108"/>
        <v>SUBDIRECCION DE GESTION CONTRACTUAL</v>
      </c>
      <c r="V444" s="185" t="str">
        <f t="shared" si="109"/>
        <v>CO-DC</v>
      </c>
      <c r="W444" s="198" t="str">
        <f t="shared" si="110"/>
        <v>Distrito Capital de Bogotá</v>
      </c>
      <c r="X444" s="199" t="s">
        <v>717</v>
      </c>
      <c r="Y444" s="185">
        <v>2427400</v>
      </c>
      <c r="Z444" s="200" t="s">
        <v>718</v>
      </c>
      <c r="AA444" s="134"/>
      <c r="AB444" s="134"/>
      <c r="AC444" s="134"/>
      <c r="AD444" s="134"/>
      <c r="AE444" s="134"/>
      <c r="AF444" s="134"/>
      <c r="AG444" s="134"/>
      <c r="AH444" s="134"/>
      <c r="AI444" s="134"/>
      <c r="AJ444" s="134"/>
      <c r="AK444" s="134"/>
      <c r="AL444" s="134"/>
      <c r="AM444" s="134"/>
      <c r="AN444" s="134"/>
      <c r="AO444" s="134"/>
      <c r="AP444" s="134"/>
      <c r="AQ444" s="134"/>
      <c r="AR444" s="134"/>
      <c r="AS444" s="134"/>
      <c r="AT444" s="134"/>
      <c r="AU444" s="132"/>
      <c r="AV444" s="132"/>
      <c r="AW444" s="132"/>
      <c r="AX444" s="132"/>
      <c r="AY444" s="132"/>
      <c r="AZ444" s="132"/>
      <c r="BA444" s="132"/>
      <c r="BB444" s="132"/>
      <c r="BC444" s="132"/>
      <c r="BD444" s="132"/>
      <c r="BE444" s="132"/>
      <c r="BF444" s="132"/>
      <c r="BG444" s="132"/>
      <c r="BH444" s="132"/>
      <c r="BI444" s="132"/>
      <c r="BJ444" s="132"/>
      <c r="BK444" s="132"/>
      <c r="BL444" s="132"/>
      <c r="BM444" s="132"/>
      <c r="BN444" s="132"/>
      <c r="BO444" s="132"/>
      <c r="BP444" s="132"/>
      <c r="BQ444" s="132"/>
      <c r="BR444" s="132"/>
      <c r="BS444" s="132"/>
      <c r="BT444" s="132"/>
      <c r="BU444" s="132"/>
      <c r="BV444" s="132"/>
      <c r="BW444" s="132"/>
      <c r="BX444" s="132"/>
      <c r="BY444" s="132"/>
      <c r="BZ444" s="132"/>
      <c r="CA444" s="132"/>
      <c r="CB444" s="132"/>
      <c r="CC444" s="132"/>
      <c r="CD444" s="132"/>
      <c r="CE444" s="132"/>
      <c r="CF444" s="132"/>
      <c r="CG444" s="140"/>
    </row>
    <row r="445" spans="1:85" s="139" customFormat="1" ht="13.9" customHeight="1" x14ac:dyDescent="0.2">
      <c r="A445" s="184" t="s">
        <v>714</v>
      </c>
      <c r="B445" s="185">
        <v>41</v>
      </c>
      <c r="C445" s="186" t="s">
        <v>753</v>
      </c>
      <c r="D445" s="186" t="s">
        <v>728</v>
      </c>
      <c r="E445" s="187"/>
      <c r="F445" s="187">
        <v>162218545</v>
      </c>
      <c r="G445" s="187"/>
      <c r="H445" s="188" t="s">
        <v>749</v>
      </c>
      <c r="I445" s="189" t="s">
        <v>742</v>
      </c>
      <c r="J445" s="206">
        <v>1</v>
      </c>
      <c r="K445" s="206">
        <v>2</v>
      </c>
      <c r="L445" s="206">
        <v>11</v>
      </c>
      <c r="M445" s="185">
        <v>1</v>
      </c>
      <c r="N445" s="193" t="s">
        <v>36</v>
      </c>
      <c r="O445" s="194" t="s">
        <v>256</v>
      </c>
      <c r="P445" s="195">
        <v>1</v>
      </c>
      <c r="Q445" s="196">
        <f t="shared" si="111"/>
        <v>162218545</v>
      </c>
      <c r="R445" s="196">
        <f t="shared" si="112"/>
        <v>162218545</v>
      </c>
      <c r="S445" s="197" t="s">
        <v>217</v>
      </c>
      <c r="T445" s="193">
        <v>0</v>
      </c>
      <c r="U445" s="198" t="str">
        <f t="shared" si="108"/>
        <v>SUBDIRECCION DE GESTION CONTRACTUAL</v>
      </c>
      <c r="V445" s="185" t="str">
        <f t="shared" si="109"/>
        <v>CO-DC</v>
      </c>
      <c r="W445" s="198" t="str">
        <f t="shared" si="110"/>
        <v>Distrito Capital de Bogotá</v>
      </c>
      <c r="X445" s="199" t="s">
        <v>717</v>
      </c>
      <c r="Y445" s="185">
        <v>2427400</v>
      </c>
      <c r="Z445" s="200" t="s">
        <v>718</v>
      </c>
      <c r="AA445" s="134"/>
      <c r="AB445" s="134"/>
      <c r="AC445" s="134"/>
      <c r="AD445" s="134"/>
      <c r="AE445" s="134"/>
      <c r="AF445" s="134"/>
      <c r="AG445" s="134"/>
      <c r="AH445" s="134"/>
      <c r="AI445" s="134"/>
      <c r="AJ445" s="134"/>
      <c r="AK445" s="134"/>
      <c r="AL445" s="134"/>
      <c r="AM445" s="134"/>
      <c r="AN445" s="134"/>
      <c r="AO445" s="134"/>
      <c r="AP445" s="134"/>
      <c r="AQ445" s="134"/>
      <c r="AR445" s="134"/>
      <c r="AS445" s="134"/>
      <c r="AT445" s="134"/>
      <c r="AU445" s="132"/>
      <c r="AV445" s="132"/>
      <c r="AW445" s="132"/>
      <c r="AX445" s="132"/>
      <c r="AY445" s="132"/>
      <c r="AZ445" s="132"/>
      <c r="BA445" s="132"/>
      <c r="BB445" s="132"/>
      <c r="BC445" s="132"/>
      <c r="BD445" s="132"/>
      <c r="BE445" s="132"/>
      <c r="BF445" s="132"/>
      <c r="BG445" s="132"/>
      <c r="BH445" s="132"/>
      <c r="BI445" s="132"/>
      <c r="BJ445" s="132"/>
      <c r="BK445" s="132"/>
      <c r="BL445" s="132"/>
      <c r="BM445" s="132"/>
      <c r="BN445" s="132"/>
      <c r="BO445" s="132"/>
      <c r="BP445" s="132"/>
      <c r="BQ445" s="132"/>
      <c r="BR445" s="132"/>
      <c r="BS445" s="132"/>
      <c r="BT445" s="132"/>
      <c r="BU445" s="132"/>
      <c r="BV445" s="132"/>
      <c r="BW445" s="132"/>
      <c r="BX445" s="132"/>
      <c r="BY445" s="132"/>
      <c r="BZ445" s="132"/>
      <c r="CA445" s="132"/>
      <c r="CB445" s="132"/>
      <c r="CC445" s="132"/>
      <c r="CD445" s="132"/>
      <c r="CE445" s="132"/>
      <c r="CF445" s="132"/>
      <c r="CG445" s="140"/>
    </row>
    <row r="446" spans="1:85" s="139" customFormat="1" ht="13.9" customHeight="1" x14ac:dyDescent="0.2">
      <c r="A446" s="184" t="s">
        <v>714</v>
      </c>
      <c r="B446" s="185">
        <v>42</v>
      </c>
      <c r="C446" s="186" t="s">
        <v>753</v>
      </c>
      <c r="D446" s="186" t="s">
        <v>745</v>
      </c>
      <c r="E446" s="187"/>
      <c r="F446" s="187">
        <v>311310809</v>
      </c>
      <c r="G446" s="187"/>
      <c r="H446" s="188" t="s">
        <v>749</v>
      </c>
      <c r="I446" s="189" t="s">
        <v>742</v>
      </c>
      <c r="J446" s="206">
        <v>1</v>
      </c>
      <c r="K446" s="206">
        <v>2</v>
      </c>
      <c r="L446" s="206">
        <v>11</v>
      </c>
      <c r="M446" s="185">
        <v>1</v>
      </c>
      <c r="N446" s="193" t="s">
        <v>36</v>
      </c>
      <c r="O446" s="194" t="s">
        <v>256</v>
      </c>
      <c r="P446" s="195">
        <v>1</v>
      </c>
      <c r="Q446" s="196">
        <f t="shared" si="111"/>
        <v>311310809</v>
      </c>
      <c r="R446" s="196">
        <f t="shared" si="112"/>
        <v>311310809</v>
      </c>
      <c r="S446" s="197" t="s">
        <v>217</v>
      </c>
      <c r="T446" s="193">
        <v>0</v>
      </c>
      <c r="U446" s="198" t="str">
        <f t="shared" si="108"/>
        <v>SUBDIRECCION DE GESTION CONTRACTUAL</v>
      </c>
      <c r="V446" s="185" t="str">
        <f t="shared" si="109"/>
        <v>CO-DC</v>
      </c>
      <c r="W446" s="198" t="str">
        <f t="shared" si="110"/>
        <v>Distrito Capital de Bogotá</v>
      </c>
      <c r="X446" s="199" t="s">
        <v>717</v>
      </c>
      <c r="Y446" s="185">
        <v>2427400</v>
      </c>
      <c r="Z446" s="200" t="s">
        <v>718</v>
      </c>
      <c r="AA446" s="134"/>
      <c r="AB446" s="134"/>
      <c r="AC446" s="134"/>
      <c r="AD446" s="134"/>
      <c r="AE446" s="134"/>
      <c r="AF446" s="134"/>
      <c r="AG446" s="134"/>
      <c r="AH446" s="134"/>
      <c r="AI446" s="134"/>
      <c r="AJ446" s="134"/>
      <c r="AK446" s="134"/>
      <c r="AL446" s="134"/>
      <c r="AM446" s="134"/>
      <c r="AN446" s="134"/>
      <c r="AO446" s="134"/>
      <c r="AP446" s="134"/>
      <c r="AQ446" s="134"/>
      <c r="AR446" s="134"/>
      <c r="AS446" s="134"/>
      <c r="AT446" s="134"/>
      <c r="AU446" s="132"/>
      <c r="AV446" s="132"/>
      <c r="AW446" s="132"/>
      <c r="AX446" s="132"/>
      <c r="AY446" s="132"/>
      <c r="AZ446" s="132"/>
      <c r="BA446" s="132"/>
      <c r="BB446" s="132"/>
      <c r="BC446" s="132"/>
      <c r="BD446" s="132"/>
      <c r="BE446" s="132"/>
      <c r="BF446" s="132"/>
      <c r="BG446" s="132"/>
      <c r="BH446" s="132"/>
      <c r="BI446" s="132"/>
      <c r="BJ446" s="132"/>
      <c r="BK446" s="132"/>
      <c r="BL446" s="132"/>
      <c r="BM446" s="132"/>
      <c r="BN446" s="132"/>
      <c r="BO446" s="132"/>
      <c r="BP446" s="132"/>
      <c r="BQ446" s="132"/>
      <c r="BR446" s="132"/>
      <c r="BS446" s="132"/>
      <c r="BT446" s="132"/>
      <c r="BU446" s="132"/>
      <c r="BV446" s="132"/>
      <c r="BW446" s="132"/>
      <c r="BX446" s="132"/>
      <c r="BY446" s="132"/>
      <c r="BZ446" s="132"/>
      <c r="CA446" s="132"/>
      <c r="CB446" s="132"/>
      <c r="CC446" s="132"/>
      <c r="CD446" s="132"/>
      <c r="CE446" s="132"/>
      <c r="CF446" s="132"/>
      <c r="CG446" s="140"/>
    </row>
    <row r="447" spans="1:85" s="139" customFormat="1" ht="13.9" customHeight="1" x14ac:dyDescent="0.2">
      <c r="A447" s="184" t="s">
        <v>714</v>
      </c>
      <c r="B447" s="185">
        <v>43</v>
      </c>
      <c r="C447" s="186" t="s">
        <v>753</v>
      </c>
      <c r="D447" s="186" t="s">
        <v>729</v>
      </c>
      <c r="E447" s="187"/>
      <c r="F447" s="187">
        <v>108145701</v>
      </c>
      <c r="G447" s="187"/>
      <c r="H447" s="188" t="s">
        <v>749</v>
      </c>
      <c r="I447" s="189" t="s">
        <v>742</v>
      </c>
      <c r="J447" s="206">
        <v>1</v>
      </c>
      <c r="K447" s="206">
        <v>2</v>
      </c>
      <c r="L447" s="206">
        <v>11</v>
      </c>
      <c r="M447" s="185">
        <v>1</v>
      </c>
      <c r="N447" s="193" t="s">
        <v>36</v>
      </c>
      <c r="O447" s="194" t="s">
        <v>256</v>
      </c>
      <c r="P447" s="195">
        <v>1</v>
      </c>
      <c r="Q447" s="196">
        <f t="shared" si="111"/>
        <v>108145701</v>
      </c>
      <c r="R447" s="196">
        <f t="shared" si="112"/>
        <v>108145701</v>
      </c>
      <c r="S447" s="197" t="s">
        <v>217</v>
      </c>
      <c r="T447" s="193">
        <v>0</v>
      </c>
      <c r="U447" s="198" t="str">
        <f t="shared" si="108"/>
        <v>SUBDIRECCION DE GESTION CONTRACTUAL</v>
      </c>
      <c r="V447" s="185" t="str">
        <f t="shared" si="109"/>
        <v>CO-DC</v>
      </c>
      <c r="W447" s="198" t="str">
        <f t="shared" si="110"/>
        <v>Distrito Capital de Bogotá</v>
      </c>
      <c r="X447" s="199" t="s">
        <v>717</v>
      </c>
      <c r="Y447" s="185">
        <v>2427400</v>
      </c>
      <c r="Z447" s="200" t="s">
        <v>718</v>
      </c>
      <c r="AA447" s="134"/>
      <c r="AB447" s="134"/>
      <c r="AC447" s="134"/>
      <c r="AD447" s="134"/>
      <c r="AE447" s="134"/>
      <c r="AF447" s="134"/>
      <c r="AG447" s="134"/>
      <c r="AH447" s="134"/>
      <c r="AI447" s="134"/>
      <c r="AJ447" s="134"/>
      <c r="AK447" s="134"/>
      <c r="AL447" s="134"/>
      <c r="AM447" s="134"/>
      <c r="AN447" s="134"/>
      <c r="AO447" s="134"/>
      <c r="AP447" s="134"/>
      <c r="AQ447" s="134"/>
      <c r="AR447" s="134"/>
      <c r="AS447" s="134"/>
      <c r="AT447" s="134"/>
      <c r="AU447" s="132"/>
      <c r="AV447" s="132"/>
      <c r="AW447" s="132"/>
      <c r="AX447" s="132"/>
      <c r="AY447" s="132"/>
      <c r="AZ447" s="132"/>
      <c r="BA447" s="132"/>
      <c r="BB447" s="132"/>
      <c r="BC447" s="132"/>
      <c r="BD447" s="132"/>
      <c r="BE447" s="132"/>
      <c r="BF447" s="132"/>
      <c r="BG447" s="132"/>
      <c r="BH447" s="132"/>
      <c r="BI447" s="132"/>
      <c r="BJ447" s="132"/>
      <c r="BK447" s="132"/>
      <c r="BL447" s="132"/>
      <c r="BM447" s="132"/>
      <c r="BN447" s="132"/>
      <c r="BO447" s="132"/>
      <c r="BP447" s="132"/>
      <c r="BQ447" s="132"/>
      <c r="BR447" s="132"/>
      <c r="BS447" s="132"/>
      <c r="BT447" s="132"/>
      <c r="BU447" s="132"/>
      <c r="BV447" s="132"/>
      <c r="BW447" s="132"/>
      <c r="BX447" s="132"/>
      <c r="BY447" s="132"/>
      <c r="BZ447" s="132"/>
      <c r="CA447" s="132"/>
      <c r="CB447" s="132"/>
      <c r="CC447" s="132"/>
      <c r="CD447" s="132"/>
      <c r="CE447" s="132"/>
      <c r="CF447" s="132"/>
      <c r="CG447" s="140"/>
    </row>
    <row r="448" spans="1:85" s="139" customFormat="1" ht="13.9" customHeight="1" x14ac:dyDescent="0.2">
      <c r="A448" s="184" t="s">
        <v>714</v>
      </c>
      <c r="B448" s="185">
        <v>44</v>
      </c>
      <c r="C448" s="186" t="s">
        <v>753</v>
      </c>
      <c r="D448" s="186" t="s">
        <v>746</v>
      </c>
      <c r="E448" s="187"/>
      <c r="F448" s="187">
        <f>207540539+1</f>
        <v>207540540</v>
      </c>
      <c r="G448" s="187"/>
      <c r="H448" s="188" t="s">
        <v>749</v>
      </c>
      <c r="I448" s="189" t="s">
        <v>742</v>
      </c>
      <c r="J448" s="206">
        <v>1</v>
      </c>
      <c r="K448" s="206">
        <v>2</v>
      </c>
      <c r="L448" s="206">
        <v>10</v>
      </c>
      <c r="M448" s="185">
        <v>1</v>
      </c>
      <c r="N448" s="193" t="s">
        <v>36</v>
      </c>
      <c r="O448" s="194" t="s">
        <v>256</v>
      </c>
      <c r="P448" s="195">
        <v>1</v>
      </c>
      <c r="Q448" s="196">
        <f t="shared" si="111"/>
        <v>207540540</v>
      </c>
      <c r="R448" s="196">
        <f t="shared" si="112"/>
        <v>207540540</v>
      </c>
      <c r="S448" s="197" t="s">
        <v>217</v>
      </c>
      <c r="T448" s="193">
        <v>0</v>
      </c>
      <c r="U448" s="198" t="str">
        <f t="shared" si="108"/>
        <v>SUBDIRECCION DE GESTION CONTRACTUAL</v>
      </c>
      <c r="V448" s="185" t="str">
        <f t="shared" si="109"/>
        <v>CO-DC</v>
      </c>
      <c r="W448" s="198" t="str">
        <f t="shared" si="110"/>
        <v>Distrito Capital de Bogotá</v>
      </c>
      <c r="X448" s="199" t="s">
        <v>717</v>
      </c>
      <c r="Y448" s="185">
        <v>2427400</v>
      </c>
      <c r="Z448" s="200" t="s">
        <v>718</v>
      </c>
      <c r="AA448" s="134"/>
      <c r="AB448" s="134"/>
      <c r="AC448" s="134"/>
      <c r="AD448" s="134"/>
      <c r="AE448" s="134"/>
      <c r="AF448" s="134"/>
      <c r="AG448" s="134"/>
      <c r="AH448" s="134"/>
      <c r="AI448" s="134"/>
      <c r="AJ448" s="134"/>
      <c r="AK448" s="134"/>
      <c r="AL448" s="134"/>
      <c r="AM448" s="134"/>
      <c r="AN448" s="134"/>
      <c r="AO448" s="134"/>
      <c r="AP448" s="134"/>
      <c r="AQ448" s="134"/>
      <c r="AR448" s="134"/>
      <c r="AS448" s="134"/>
      <c r="AT448" s="134"/>
      <c r="AU448" s="132"/>
      <c r="AV448" s="132"/>
      <c r="AW448" s="132"/>
      <c r="AX448" s="132"/>
      <c r="AY448" s="132"/>
      <c r="AZ448" s="132"/>
      <c r="BA448" s="132"/>
      <c r="BB448" s="132"/>
      <c r="BC448" s="132"/>
      <c r="BD448" s="132"/>
      <c r="BE448" s="132"/>
      <c r="BF448" s="132"/>
      <c r="BG448" s="132"/>
      <c r="BH448" s="132"/>
      <c r="BI448" s="132"/>
      <c r="BJ448" s="132"/>
      <c r="BK448" s="132"/>
      <c r="BL448" s="132"/>
      <c r="BM448" s="132"/>
      <c r="BN448" s="132"/>
      <c r="BO448" s="132"/>
      <c r="BP448" s="132"/>
      <c r="BQ448" s="132"/>
      <c r="BR448" s="132"/>
      <c r="BS448" s="132"/>
      <c r="BT448" s="132"/>
      <c r="BU448" s="132"/>
      <c r="BV448" s="132"/>
      <c r="BW448" s="132"/>
      <c r="BX448" s="132"/>
      <c r="BY448" s="132"/>
      <c r="BZ448" s="132"/>
      <c r="CA448" s="132"/>
      <c r="CB448" s="132"/>
      <c r="CC448" s="132"/>
      <c r="CD448" s="132"/>
      <c r="CE448" s="132"/>
      <c r="CF448" s="132"/>
      <c r="CG448" s="140"/>
    </row>
    <row r="449" spans="1:85" s="136" customFormat="1" ht="12.75" customHeight="1" x14ac:dyDescent="0.2">
      <c r="A449" s="184" t="s">
        <v>714</v>
      </c>
      <c r="B449" s="185">
        <v>45</v>
      </c>
      <c r="C449" s="186" t="s">
        <v>754</v>
      </c>
      <c r="D449" s="186" t="s">
        <v>730</v>
      </c>
      <c r="E449" s="187"/>
      <c r="F449" s="187">
        <f>70462610-60442512</f>
        <v>10020098</v>
      </c>
      <c r="G449" s="187"/>
      <c r="H449" s="188" t="s">
        <v>749</v>
      </c>
      <c r="I449" s="189" t="s">
        <v>742</v>
      </c>
      <c r="J449" s="206">
        <v>1</v>
      </c>
      <c r="K449" s="206">
        <v>2</v>
      </c>
      <c r="L449" s="206">
        <v>10</v>
      </c>
      <c r="M449" s="185">
        <v>1</v>
      </c>
      <c r="N449" s="193" t="s">
        <v>36</v>
      </c>
      <c r="O449" s="194" t="s">
        <v>256</v>
      </c>
      <c r="P449" s="195">
        <v>1</v>
      </c>
      <c r="Q449" s="196">
        <f t="shared" si="111"/>
        <v>10020098</v>
      </c>
      <c r="R449" s="196">
        <f t="shared" si="112"/>
        <v>10020098</v>
      </c>
      <c r="S449" s="197" t="s">
        <v>217</v>
      </c>
      <c r="T449" s="193">
        <v>0</v>
      </c>
      <c r="U449" s="198" t="str">
        <f t="shared" si="108"/>
        <v>SUBDIRECCION DE GESTION CONTRACTUAL</v>
      </c>
      <c r="V449" s="185" t="str">
        <f t="shared" si="109"/>
        <v>CO-DC</v>
      </c>
      <c r="W449" s="198" t="str">
        <f t="shared" si="110"/>
        <v>Distrito Capital de Bogotá</v>
      </c>
      <c r="X449" s="199" t="s">
        <v>747</v>
      </c>
      <c r="Y449" s="185">
        <v>2427400</v>
      </c>
      <c r="Z449" s="200" t="s">
        <v>718</v>
      </c>
      <c r="AA449" s="134"/>
      <c r="AB449" s="134"/>
      <c r="AC449" s="134"/>
      <c r="AD449" s="134"/>
      <c r="AE449" s="134"/>
      <c r="AF449" s="134"/>
      <c r="AG449" s="134"/>
      <c r="AH449" s="134"/>
      <c r="AI449" s="134"/>
      <c r="AJ449" s="134"/>
      <c r="AK449" s="134"/>
      <c r="AL449" s="134"/>
      <c r="AM449" s="134"/>
      <c r="AN449" s="134"/>
      <c r="AO449" s="134"/>
      <c r="AP449" s="134"/>
      <c r="AQ449" s="134"/>
      <c r="AR449" s="134"/>
      <c r="AS449" s="134"/>
      <c r="AT449" s="134"/>
      <c r="AU449" s="132"/>
      <c r="AV449" s="132"/>
      <c r="AW449" s="132"/>
      <c r="AX449" s="132"/>
      <c r="AY449" s="132"/>
      <c r="AZ449" s="132"/>
      <c r="BA449" s="132"/>
      <c r="BB449" s="132"/>
      <c r="BC449" s="132"/>
      <c r="BD449" s="132"/>
      <c r="BE449" s="132"/>
      <c r="BF449" s="132"/>
      <c r="BG449" s="132"/>
      <c r="BH449" s="132"/>
      <c r="BI449" s="132"/>
      <c r="BJ449" s="132"/>
      <c r="BK449" s="132"/>
      <c r="BL449" s="132"/>
      <c r="BM449" s="132"/>
      <c r="BN449" s="132"/>
      <c r="BO449" s="132"/>
      <c r="BP449" s="132"/>
      <c r="BQ449" s="132"/>
      <c r="BR449" s="132"/>
      <c r="BS449" s="132"/>
      <c r="BT449" s="132"/>
      <c r="BU449" s="132"/>
      <c r="BV449" s="132"/>
      <c r="BW449" s="132"/>
      <c r="BX449" s="132"/>
      <c r="BY449" s="132"/>
      <c r="BZ449" s="132"/>
      <c r="CA449" s="132"/>
      <c r="CB449" s="132"/>
      <c r="CC449" s="132"/>
      <c r="CD449" s="132"/>
      <c r="CE449" s="132"/>
      <c r="CF449" s="132"/>
      <c r="CG449" s="140"/>
    </row>
    <row r="450" spans="1:85" s="139" customFormat="1" ht="13.9" customHeight="1" x14ac:dyDescent="0.2">
      <c r="A450" s="184" t="s">
        <v>714</v>
      </c>
      <c r="B450" s="185">
        <v>46</v>
      </c>
      <c r="C450" s="186" t="s">
        <v>754</v>
      </c>
      <c r="D450" s="186" t="s">
        <v>731</v>
      </c>
      <c r="E450" s="187"/>
      <c r="F450" s="187">
        <f>234045807-172236443</f>
        <v>61809364</v>
      </c>
      <c r="G450" s="187"/>
      <c r="H450" s="188" t="s">
        <v>749</v>
      </c>
      <c r="I450" s="189" t="s">
        <v>742</v>
      </c>
      <c r="J450" s="206">
        <v>1</v>
      </c>
      <c r="K450" s="206">
        <v>2</v>
      </c>
      <c r="L450" s="206">
        <v>10</v>
      </c>
      <c r="M450" s="185">
        <v>1</v>
      </c>
      <c r="N450" s="193" t="s">
        <v>36</v>
      </c>
      <c r="O450" s="194" t="s">
        <v>256</v>
      </c>
      <c r="P450" s="195">
        <v>1</v>
      </c>
      <c r="Q450" s="196">
        <f t="shared" si="111"/>
        <v>61809364</v>
      </c>
      <c r="R450" s="196">
        <f t="shared" si="112"/>
        <v>61809364</v>
      </c>
      <c r="S450" s="197" t="s">
        <v>217</v>
      </c>
      <c r="T450" s="193">
        <v>0</v>
      </c>
      <c r="U450" s="198" t="str">
        <f t="shared" si="108"/>
        <v>SUBDIRECCION DE GESTION CONTRACTUAL</v>
      </c>
      <c r="V450" s="185" t="str">
        <f t="shared" si="109"/>
        <v>CO-DC</v>
      </c>
      <c r="W450" s="198" t="str">
        <f t="shared" si="110"/>
        <v>Distrito Capital de Bogotá</v>
      </c>
      <c r="X450" s="199" t="s">
        <v>747</v>
      </c>
      <c r="Y450" s="185">
        <v>2427400</v>
      </c>
      <c r="Z450" s="200" t="s">
        <v>718</v>
      </c>
      <c r="AA450" s="134"/>
      <c r="AB450" s="134"/>
      <c r="AC450" s="134"/>
      <c r="AD450" s="134"/>
      <c r="AE450" s="134"/>
      <c r="AF450" s="134"/>
      <c r="AG450" s="134"/>
      <c r="AH450" s="134"/>
      <c r="AI450" s="134"/>
      <c r="AJ450" s="134"/>
      <c r="AK450" s="134"/>
      <c r="AL450" s="134"/>
      <c r="AM450" s="134"/>
      <c r="AN450" s="134"/>
      <c r="AO450" s="134"/>
      <c r="AP450" s="134"/>
      <c r="AQ450" s="134"/>
      <c r="AR450" s="134"/>
      <c r="AS450" s="134"/>
      <c r="AT450" s="134"/>
      <c r="AU450" s="132"/>
      <c r="AV450" s="132"/>
      <c r="AW450" s="132"/>
      <c r="AX450" s="132"/>
      <c r="AY450" s="132"/>
      <c r="AZ450" s="132"/>
      <c r="BA450" s="132"/>
      <c r="BB450" s="132"/>
      <c r="BC450" s="132"/>
      <c r="BD450" s="132"/>
      <c r="BE450" s="132"/>
      <c r="BF450" s="132"/>
      <c r="BG450" s="132"/>
      <c r="BH450" s="132"/>
      <c r="BI450" s="132"/>
      <c r="BJ450" s="132"/>
      <c r="BK450" s="132"/>
      <c r="BL450" s="132"/>
      <c r="BM450" s="132"/>
      <c r="BN450" s="132"/>
      <c r="BO450" s="132"/>
      <c r="BP450" s="132"/>
      <c r="BQ450" s="132"/>
      <c r="BR450" s="132"/>
      <c r="BS450" s="132"/>
      <c r="BT450" s="132"/>
      <c r="BU450" s="132"/>
      <c r="BV450" s="132"/>
      <c r="BW450" s="132"/>
      <c r="BX450" s="132"/>
      <c r="BY450" s="132"/>
      <c r="BZ450" s="132"/>
      <c r="CA450" s="132"/>
      <c r="CB450" s="132"/>
      <c r="CC450" s="132"/>
      <c r="CD450" s="132"/>
      <c r="CE450" s="132"/>
      <c r="CF450" s="132"/>
      <c r="CG450" s="140"/>
    </row>
    <row r="451" spans="1:85" s="139" customFormat="1" ht="13.9" customHeight="1" x14ac:dyDescent="0.2">
      <c r="A451" s="184" t="s">
        <v>714</v>
      </c>
      <c r="B451" s="185">
        <v>47</v>
      </c>
      <c r="C451" s="186" t="s">
        <v>754</v>
      </c>
      <c r="D451" s="186" t="s">
        <v>732</v>
      </c>
      <c r="E451" s="187"/>
      <c r="F451" s="187">
        <f>285386564-193756461</f>
        <v>91630103</v>
      </c>
      <c r="G451" s="187"/>
      <c r="H451" s="188" t="s">
        <v>749</v>
      </c>
      <c r="I451" s="189" t="s">
        <v>742</v>
      </c>
      <c r="J451" s="206">
        <v>1</v>
      </c>
      <c r="K451" s="206">
        <v>2</v>
      </c>
      <c r="L451" s="206">
        <v>10</v>
      </c>
      <c r="M451" s="185">
        <v>1</v>
      </c>
      <c r="N451" s="193" t="s">
        <v>36</v>
      </c>
      <c r="O451" s="194" t="s">
        <v>256</v>
      </c>
      <c r="P451" s="195">
        <v>1</v>
      </c>
      <c r="Q451" s="196">
        <f t="shared" si="111"/>
        <v>91630103</v>
      </c>
      <c r="R451" s="196">
        <f t="shared" si="112"/>
        <v>91630103</v>
      </c>
      <c r="S451" s="197" t="s">
        <v>217</v>
      </c>
      <c r="T451" s="193">
        <v>0</v>
      </c>
      <c r="U451" s="198" t="str">
        <f t="shared" si="108"/>
        <v>SUBDIRECCION DE GESTION CONTRACTUAL</v>
      </c>
      <c r="V451" s="185" t="str">
        <f t="shared" si="109"/>
        <v>CO-DC</v>
      </c>
      <c r="W451" s="198" t="str">
        <f t="shared" si="110"/>
        <v>Distrito Capital de Bogotá</v>
      </c>
      <c r="X451" s="199" t="s">
        <v>747</v>
      </c>
      <c r="Y451" s="185">
        <v>2427400</v>
      </c>
      <c r="Z451" s="200" t="s">
        <v>718</v>
      </c>
      <c r="AA451" s="134"/>
      <c r="AB451" s="134"/>
      <c r="AC451" s="134"/>
      <c r="AD451" s="134"/>
      <c r="AE451" s="134"/>
      <c r="AF451" s="134"/>
      <c r="AG451" s="134"/>
      <c r="AH451" s="134"/>
      <c r="AI451" s="134"/>
      <c r="AJ451" s="134"/>
      <c r="AK451" s="134"/>
      <c r="AL451" s="134"/>
      <c r="AM451" s="134"/>
      <c r="AN451" s="134"/>
      <c r="AO451" s="134"/>
      <c r="AP451" s="134"/>
      <c r="AQ451" s="134"/>
      <c r="AR451" s="134"/>
      <c r="AS451" s="134"/>
      <c r="AT451" s="134"/>
      <c r="AU451" s="132"/>
      <c r="AV451" s="132"/>
      <c r="AW451" s="132"/>
      <c r="AX451" s="132"/>
      <c r="AY451" s="132"/>
      <c r="AZ451" s="132"/>
      <c r="BA451" s="132"/>
      <c r="BB451" s="132"/>
      <c r="BC451" s="132"/>
      <c r="BD451" s="132"/>
      <c r="BE451" s="132"/>
      <c r="BF451" s="132"/>
      <c r="BG451" s="132"/>
      <c r="BH451" s="132"/>
      <c r="BI451" s="132"/>
      <c r="BJ451" s="132"/>
      <c r="BK451" s="132"/>
      <c r="BL451" s="132"/>
      <c r="BM451" s="132"/>
      <c r="BN451" s="132"/>
      <c r="BO451" s="132"/>
      <c r="BP451" s="132"/>
      <c r="BQ451" s="132"/>
      <c r="BR451" s="132"/>
      <c r="BS451" s="132"/>
      <c r="BT451" s="132"/>
      <c r="BU451" s="132"/>
      <c r="BV451" s="132"/>
      <c r="BW451" s="132"/>
      <c r="BX451" s="132"/>
      <c r="BY451" s="132"/>
      <c r="BZ451" s="132"/>
      <c r="CA451" s="132"/>
      <c r="CB451" s="132"/>
      <c r="CC451" s="132"/>
      <c r="CD451" s="132"/>
      <c r="CE451" s="132"/>
      <c r="CF451" s="132"/>
      <c r="CG451" s="140"/>
    </row>
    <row r="452" spans="1:85" s="139" customFormat="1" ht="13.9" customHeight="1" x14ac:dyDescent="0.2">
      <c r="A452" s="184" t="s">
        <v>714</v>
      </c>
      <c r="B452" s="185">
        <v>48</v>
      </c>
      <c r="C452" s="186" t="s">
        <v>754</v>
      </c>
      <c r="D452" s="186" t="s">
        <v>733</v>
      </c>
      <c r="E452" s="187"/>
      <c r="F452" s="187">
        <f>46975071-23487536</f>
        <v>23487535</v>
      </c>
      <c r="G452" s="187"/>
      <c r="H452" s="188" t="s">
        <v>749</v>
      </c>
      <c r="I452" s="189" t="s">
        <v>742</v>
      </c>
      <c r="J452" s="206">
        <v>1</v>
      </c>
      <c r="K452" s="206">
        <v>2</v>
      </c>
      <c r="L452" s="206">
        <v>10</v>
      </c>
      <c r="M452" s="185">
        <v>1</v>
      </c>
      <c r="N452" s="193" t="s">
        <v>36</v>
      </c>
      <c r="O452" s="194" t="s">
        <v>256</v>
      </c>
      <c r="P452" s="195">
        <v>1</v>
      </c>
      <c r="Q452" s="196">
        <f t="shared" si="111"/>
        <v>23487535</v>
      </c>
      <c r="R452" s="196">
        <f t="shared" si="112"/>
        <v>23487535</v>
      </c>
      <c r="S452" s="197" t="s">
        <v>217</v>
      </c>
      <c r="T452" s="193">
        <v>0</v>
      </c>
      <c r="U452" s="198" t="str">
        <f t="shared" si="108"/>
        <v>SUBDIRECCION DE GESTION CONTRACTUAL</v>
      </c>
      <c r="V452" s="185" t="str">
        <f t="shared" si="109"/>
        <v>CO-DC</v>
      </c>
      <c r="W452" s="198" t="str">
        <f t="shared" si="110"/>
        <v>Distrito Capital de Bogotá</v>
      </c>
      <c r="X452" s="199" t="s">
        <v>747</v>
      </c>
      <c r="Y452" s="185">
        <v>2427400</v>
      </c>
      <c r="Z452" s="200" t="s">
        <v>718</v>
      </c>
      <c r="AA452" s="134"/>
      <c r="AB452" s="134"/>
      <c r="AC452" s="134"/>
      <c r="AD452" s="134"/>
      <c r="AE452" s="134"/>
      <c r="AF452" s="134"/>
      <c r="AG452" s="134"/>
      <c r="AH452" s="134"/>
      <c r="AI452" s="134"/>
      <c r="AJ452" s="134"/>
      <c r="AK452" s="134"/>
      <c r="AL452" s="134"/>
      <c r="AM452" s="134"/>
      <c r="AN452" s="134"/>
      <c r="AO452" s="134"/>
      <c r="AP452" s="134"/>
      <c r="AQ452" s="134"/>
      <c r="AR452" s="134"/>
      <c r="AS452" s="134"/>
      <c r="AT452" s="134"/>
      <c r="AU452" s="132"/>
      <c r="AV452" s="132"/>
      <c r="AW452" s="132"/>
      <c r="AX452" s="132"/>
      <c r="AY452" s="132"/>
      <c r="AZ452" s="132"/>
      <c r="BA452" s="132"/>
      <c r="BB452" s="132"/>
      <c r="BC452" s="132"/>
      <c r="BD452" s="132"/>
      <c r="BE452" s="132"/>
      <c r="BF452" s="132"/>
      <c r="BG452" s="132"/>
      <c r="BH452" s="132"/>
      <c r="BI452" s="132"/>
      <c r="BJ452" s="132"/>
      <c r="BK452" s="132"/>
      <c r="BL452" s="132"/>
      <c r="BM452" s="132"/>
      <c r="BN452" s="132"/>
      <c r="BO452" s="132"/>
      <c r="BP452" s="132"/>
      <c r="BQ452" s="132"/>
      <c r="BR452" s="132"/>
      <c r="BS452" s="132"/>
      <c r="BT452" s="132"/>
      <c r="BU452" s="132"/>
      <c r="BV452" s="132"/>
      <c r="BW452" s="132"/>
      <c r="BX452" s="132"/>
      <c r="BY452" s="132"/>
      <c r="BZ452" s="132"/>
      <c r="CA452" s="132"/>
      <c r="CB452" s="132"/>
      <c r="CC452" s="132"/>
      <c r="CD452" s="132"/>
      <c r="CE452" s="132"/>
      <c r="CF452" s="132"/>
      <c r="CG452" s="140"/>
    </row>
    <row r="453" spans="1:85" s="139" customFormat="1" ht="13.9" customHeight="1" x14ac:dyDescent="0.2">
      <c r="A453" s="184" t="s">
        <v>714</v>
      </c>
      <c r="B453" s="185">
        <v>49</v>
      </c>
      <c r="C453" s="186" t="s">
        <v>754</v>
      </c>
      <c r="D453" s="186" t="s">
        <v>734</v>
      </c>
      <c r="E453" s="187"/>
      <c r="F453" s="187">
        <f>156030538-78015269</f>
        <v>78015269</v>
      </c>
      <c r="G453" s="187"/>
      <c r="H453" s="188" t="s">
        <v>749</v>
      </c>
      <c r="I453" s="189" t="s">
        <v>742</v>
      </c>
      <c r="J453" s="206">
        <v>1</v>
      </c>
      <c r="K453" s="206">
        <v>2</v>
      </c>
      <c r="L453" s="206">
        <v>10</v>
      </c>
      <c r="M453" s="185">
        <v>1</v>
      </c>
      <c r="N453" s="193" t="s">
        <v>36</v>
      </c>
      <c r="O453" s="194" t="s">
        <v>256</v>
      </c>
      <c r="P453" s="195">
        <v>1</v>
      </c>
      <c r="Q453" s="196">
        <f t="shared" si="111"/>
        <v>78015269</v>
      </c>
      <c r="R453" s="196">
        <f t="shared" si="112"/>
        <v>78015269</v>
      </c>
      <c r="S453" s="197" t="s">
        <v>217</v>
      </c>
      <c r="T453" s="193">
        <v>0</v>
      </c>
      <c r="U453" s="198" t="str">
        <f t="shared" si="108"/>
        <v>SUBDIRECCION DE GESTION CONTRACTUAL</v>
      </c>
      <c r="V453" s="185" t="str">
        <f t="shared" si="109"/>
        <v>CO-DC</v>
      </c>
      <c r="W453" s="198" t="str">
        <f t="shared" si="110"/>
        <v>Distrito Capital de Bogotá</v>
      </c>
      <c r="X453" s="199" t="s">
        <v>747</v>
      </c>
      <c r="Y453" s="185">
        <v>2427400</v>
      </c>
      <c r="Z453" s="200" t="s">
        <v>718</v>
      </c>
      <c r="AA453" s="134"/>
      <c r="AB453" s="134"/>
      <c r="AC453" s="134"/>
      <c r="AD453" s="134"/>
      <c r="AE453" s="134"/>
      <c r="AF453" s="134"/>
      <c r="AG453" s="134"/>
      <c r="AH453" s="134"/>
      <c r="AI453" s="134"/>
      <c r="AJ453" s="134"/>
      <c r="AK453" s="134"/>
      <c r="AL453" s="134"/>
      <c r="AM453" s="134"/>
      <c r="AN453" s="134"/>
      <c r="AO453" s="134"/>
      <c r="AP453" s="134"/>
      <c r="AQ453" s="134"/>
      <c r="AR453" s="134"/>
      <c r="AS453" s="134"/>
      <c r="AT453" s="134"/>
      <c r="AU453" s="132"/>
      <c r="AV453" s="132"/>
      <c r="AW453" s="132"/>
      <c r="AX453" s="132"/>
      <c r="AY453" s="132"/>
      <c r="AZ453" s="132"/>
      <c r="BA453" s="132"/>
      <c r="BB453" s="132"/>
      <c r="BC453" s="132"/>
      <c r="BD453" s="132"/>
      <c r="BE453" s="132"/>
      <c r="BF453" s="132"/>
      <c r="BG453" s="132"/>
      <c r="BH453" s="132"/>
      <c r="BI453" s="132"/>
      <c r="BJ453" s="132"/>
      <c r="BK453" s="132"/>
      <c r="BL453" s="132"/>
      <c r="BM453" s="132"/>
      <c r="BN453" s="132"/>
      <c r="BO453" s="132"/>
      <c r="BP453" s="132"/>
      <c r="BQ453" s="132"/>
      <c r="BR453" s="132"/>
      <c r="BS453" s="132"/>
      <c r="BT453" s="132"/>
      <c r="BU453" s="132"/>
      <c r="BV453" s="132"/>
      <c r="BW453" s="132"/>
      <c r="BX453" s="132"/>
      <c r="BY453" s="132"/>
      <c r="BZ453" s="132"/>
      <c r="CA453" s="132"/>
      <c r="CB453" s="132"/>
      <c r="CC453" s="132"/>
      <c r="CD453" s="132"/>
      <c r="CE453" s="132"/>
      <c r="CF453" s="132"/>
      <c r="CG453" s="140"/>
    </row>
    <row r="454" spans="1:85" s="139" customFormat="1" ht="13.9" customHeight="1" x14ac:dyDescent="0.2">
      <c r="A454" s="184" t="s">
        <v>714</v>
      </c>
      <c r="B454" s="185">
        <v>50</v>
      </c>
      <c r="C454" s="186" t="s">
        <v>754</v>
      </c>
      <c r="D454" s="186" t="s">
        <v>735</v>
      </c>
      <c r="E454" s="187"/>
      <c r="F454" s="187">
        <f>190257716-95128858</f>
        <v>95128858</v>
      </c>
      <c r="G454" s="187"/>
      <c r="H454" s="188" t="s">
        <v>749</v>
      </c>
      <c r="I454" s="189" t="s">
        <v>742</v>
      </c>
      <c r="J454" s="206">
        <v>1</v>
      </c>
      <c r="K454" s="206">
        <v>2</v>
      </c>
      <c r="L454" s="206">
        <v>10</v>
      </c>
      <c r="M454" s="185">
        <v>1</v>
      </c>
      <c r="N454" s="193" t="s">
        <v>36</v>
      </c>
      <c r="O454" s="194" t="s">
        <v>256</v>
      </c>
      <c r="P454" s="195">
        <v>1</v>
      </c>
      <c r="Q454" s="196">
        <f t="shared" ref="Q454:Q464" si="113">+E454+F454+G454</f>
        <v>95128858</v>
      </c>
      <c r="R454" s="196">
        <f t="shared" ref="R454:R464" si="114">+F454</f>
        <v>95128858</v>
      </c>
      <c r="S454" s="197" t="s">
        <v>217</v>
      </c>
      <c r="T454" s="193">
        <v>0</v>
      </c>
      <c r="U454" s="198" t="str">
        <f t="shared" si="108"/>
        <v>SUBDIRECCION DE GESTION CONTRACTUAL</v>
      </c>
      <c r="V454" s="185" t="str">
        <f t="shared" si="109"/>
        <v>CO-DC</v>
      </c>
      <c r="W454" s="198" t="str">
        <f t="shared" si="110"/>
        <v>Distrito Capital de Bogotá</v>
      </c>
      <c r="X454" s="199" t="s">
        <v>747</v>
      </c>
      <c r="Y454" s="185">
        <v>2427400</v>
      </c>
      <c r="Z454" s="200" t="s">
        <v>718</v>
      </c>
      <c r="AA454" s="134"/>
      <c r="AB454" s="134"/>
      <c r="AC454" s="134"/>
      <c r="AD454" s="134"/>
      <c r="AE454" s="134"/>
      <c r="AF454" s="134"/>
      <c r="AG454" s="134"/>
      <c r="AH454" s="134"/>
      <c r="AI454" s="134"/>
      <c r="AJ454" s="134"/>
      <c r="AK454" s="134"/>
      <c r="AL454" s="134"/>
      <c r="AM454" s="134"/>
      <c r="AN454" s="134"/>
      <c r="AO454" s="134"/>
      <c r="AP454" s="134"/>
      <c r="AQ454" s="134"/>
      <c r="AR454" s="134"/>
      <c r="AS454" s="134"/>
      <c r="AT454" s="134"/>
      <c r="AU454" s="132"/>
      <c r="AV454" s="132"/>
      <c r="AW454" s="132"/>
      <c r="AX454" s="132"/>
      <c r="AY454" s="132"/>
      <c r="AZ454" s="132"/>
      <c r="BA454" s="132"/>
      <c r="BB454" s="132"/>
      <c r="BC454" s="132"/>
      <c r="BD454" s="132"/>
      <c r="BE454" s="132"/>
      <c r="BF454" s="132"/>
      <c r="BG454" s="132"/>
      <c r="BH454" s="132"/>
      <c r="BI454" s="132"/>
      <c r="BJ454" s="132"/>
      <c r="BK454" s="132"/>
      <c r="BL454" s="132"/>
      <c r="BM454" s="132"/>
      <c r="BN454" s="132"/>
      <c r="BO454" s="132"/>
      <c r="BP454" s="132"/>
      <c r="BQ454" s="132"/>
      <c r="BR454" s="132"/>
      <c r="BS454" s="132"/>
      <c r="BT454" s="132"/>
      <c r="BU454" s="132"/>
      <c r="BV454" s="132"/>
      <c r="BW454" s="132"/>
      <c r="BX454" s="132"/>
      <c r="BY454" s="132"/>
      <c r="BZ454" s="132"/>
      <c r="CA454" s="132"/>
      <c r="CB454" s="132"/>
      <c r="CC454" s="132"/>
      <c r="CD454" s="132"/>
      <c r="CE454" s="132"/>
      <c r="CF454" s="132"/>
      <c r="CG454" s="140"/>
    </row>
    <row r="455" spans="1:85" s="136" customFormat="1" ht="12.75" customHeight="1" x14ac:dyDescent="0.2">
      <c r="A455" s="184" t="s">
        <v>714</v>
      </c>
      <c r="B455" s="185">
        <v>51</v>
      </c>
      <c r="C455" s="186" t="s">
        <v>754</v>
      </c>
      <c r="D455" s="186" t="s">
        <v>736</v>
      </c>
      <c r="E455" s="187"/>
      <c r="F455" s="187">
        <f>70462610-35231305</f>
        <v>35231305</v>
      </c>
      <c r="G455" s="187"/>
      <c r="H455" s="188" t="s">
        <v>749</v>
      </c>
      <c r="I455" s="189" t="s">
        <v>742</v>
      </c>
      <c r="J455" s="206">
        <v>1</v>
      </c>
      <c r="K455" s="206">
        <v>2</v>
      </c>
      <c r="L455" s="206">
        <v>10</v>
      </c>
      <c r="M455" s="185">
        <v>1</v>
      </c>
      <c r="N455" s="193" t="s">
        <v>36</v>
      </c>
      <c r="O455" s="194" t="s">
        <v>256</v>
      </c>
      <c r="P455" s="195">
        <v>1</v>
      </c>
      <c r="Q455" s="196">
        <f t="shared" si="113"/>
        <v>35231305</v>
      </c>
      <c r="R455" s="196">
        <f t="shared" si="114"/>
        <v>35231305</v>
      </c>
      <c r="S455" s="197" t="s">
        <v>217</v>
      </c>
      <c r="T455" s="193">
        <v>0</v>
      </c>
      <c r="U455" s="198" t="str">
        <f t="shared" si="108"/>
        <v>SUBDIRECCION DE GESTION CONTRACTUAL</v>
      </c>
      <c r="V455" s="185" t="str">
        <f t="shared" si="109"/>
        <v>CO-DC</v>
      </c>
      <c r="W455" s="198" t="str">
        <f t="shared" si="110"/>
        <v>Distrito Capital de Bogotá</v>
      </c>
      <c r="X455" s="199" t="s">
        <v>747</v>
      </c>
      <c r="Y455" s="185">
        <v>2427400</v>
      </c>
      <c r="Z455" s="200" t="s">
        <v>718</v>
      </c>
      <c r="AA455" s="134"/>
      <c r="AB455" s="134"/>
      <c r="AC455" s="134"/>
      <c r="AD455" s="134"/>
      <c r="AE455" s="134"/>
      <c r="AF455" s="134"/>
      <c r="AG455" s="134"/>
      <c r="AH455" s="134"/>
      <c r="AI455" s="134"/>
      <c r="AJ455" s="134"/>
      <c r="AK455" s="134"/>
      <c r="AL455" s="134"/>
      <c r="AM455" s="134"/>
      <c r="AN455" s="134"/>
      <c r="AO455" s="134"/>
      <c r="AP455" s="134"/>
      <c r="AQ455" s="134"/>
      <c r="AR455" s="134"/>
      <c r="AS455" s="134"/>
      <c r="AT455" s="134"/>
      <c r="AU455" s="132"/>
      <c r="AV455" s="132"/>
      <c r="AW455" s="132"/>
      <c r="AX455" s="132"/>
      <c r="AY455" s="132"/>
      <c r="AZ455" s="132"/>
      <c r="BA455" s="132"/>
      <c r="BB455" s="132"/>
      <c r="BC455" s="132"/>
      <c r="BD455" s="132"/>
      <c r="BE455" s="132"/>
      <c r="BF455" s="132"/>
      <c r="BG455" s="132"/>
      <c r="BH455" s="132"/>
      <c r="BI455" s="132"/>
      <c r="BJ455" s="132"/>
      <c r="BK455" s="132"/>
      <c r="BL455" s="132"/>
      <c r="BM455" s="132"/>
      <c r="BN455" s="132"/>
      <c r="BO455" s="132"/>
      <c r="BP455" s="132"/>
      <c r="BQ455" s="132"/>
      <c r="BR455" s="132"/>
      <c r="BS455" s="132"/>
      <c r="BT455" s="132"/>
      <c r="BU455" s="132"/>
      <c r="BV455" s="132"/>
      <c r="BW455" s="132"/>
      <c r="BX455" s="132"/>
      <c r="BY455" s="132"/>
      <c r="BZ455" s="132"/>
      <c r="CA455" s="132"/>
      <c r="CB455" s="132"/>
      <c r="CC455" s="132"/>
      <c r="CD455" s="132"/>
      <c r="CE455" s="132"/>
      <c r="CF455" s="132"/>
      <c r="CG455" s="140"/>
    </row>
    <row r="456" spans="1:85" s="139" customFormat="1" ht="13.9" customHeight="1" x14ac:dyDescent="0.2">
      <c r="A456" s="184" t="s">
        <v>714</v>
      </c>
      <c r="B456" s="185">
        <v>52</v>
      </c>
      <c r="C456" s="186" t="s">
        <v>754</v>
      </c>
      <c r="D456" s="186" t="s">
        <v>737</v>
      </c>
      <c r="E456" s="187"/>
      <c r="F456" s="187">
        <f>234045810-117022905</f>
        <v>117022905</v>
      </c>
      <c r="G456" s="187"/>
      <c r="H456" s="188" t="s">
        <v>749</v>
      </c>
      <c r="I456" s="189" t="s">
        <v>742</v>
      </c>
      <c r="J456" s="206">
        <v>1</v>
      </c>
      <c r="K456" s="206">
        <v>2</v>
      </c>
      <c r="L456" s="206">
        <v>10</v>
      </c>
      <c r="M456" s="185">
        <v>1</v>
      </c>
      <c r="N456" s="193" t="s">
        <v>36</v>
      </c>
      <c r="O456" s="194" t="s">
        <v>256</v>
      </c>
      <c r="P456" s="195">
        <v>1</v>
      </c>
      <c r="Q456" s="196">
        <f t="shared" si="113"/>
        <v>117022905</v>
      </c>
      <c r="R456" s="196">
        <f t="shared" si="114"/>
        <v>117022905</v>
      </c>
      <c r="S456" s="197" t="s">
        <v>217</v>
      </c>
      <c r="T456" s="193">
        <v>0</v>
      </c>
      <c r="U456" s="198" t="str">
        <f t="shared" si="108"/>
        <v>SUBDIRECCION DE GESTION CONTRACTUAL</v>
      </c>
      <c r="V456" s="185" t="str">
        <f t="shared" si="109"/>
        <v>CO-DC</v>
      </c>
      <c r="W456" s="198" t="str">
        <f t="shared" si="110"/>
        <v>Distrito Capital de Bogotá</v>
      </c>
      <c r="X456" s="199" t="s">
        <v>747</v>
      </c>
      <c r="Y456" s="185">
        <v>2427400</v>
      </c>
      <c r="Z456" s="200" t="s">
        <v>718</v>
      </c>
      <c r="AA456" s="134"/>
      <c r="AB456" s="134"/>
      <c r="AC456" s="134"/>
      <c r="AD456" s="134"/>
      <c r="AE456" s="134"/>
      <c r="AF456" s="134"/>
      <c r="AG456" s="134"/>
      <c r="AH456" s="134"/>
      <c r="AI456" s="134"/>
      <c r="AJ456" s="134"/>
      <c r="AK456" s="134"/>
      <c r="AL456" s="134"/>
      <c r="AM456" s="134"/>
      <c r="AN456" s="134"/>
      <c r="AO456" s="134"/>
      <c r="AP456" s="134"/>
      <c r="AQ456" s="134"/>
      <c r="AR456" s="134"/>
      <c r="AS456" s="134"/>
      <c r="AT456" s="134"/>
      <c r="AU456" s="132"/>
      <c r="AV456" s="132"/>
      <c r="AW456" s="132"/>
      <c r="AX456" s="132"/>
      <c r="AY456" s="132"/>
      <c r="AZ456" s="132"/>
      <c r="BA456" s="132"/>
      <c r="BB456" s="132"/>
      <c r="BC456" s="132"/>
      <c r="BD456" s="132"/>
      <c r="BE456" s="132"/>
      <c r="BF456" s="132"/>
      <c r="BG456" s="132"/>
      <c r="BH456" s="132"/>
      <c r="BI456" s="132"/>
      <c r="BJ456" s="132"/>
      <c r="BK456" s="132"/>
      <c r="BL456" s="132"/>
      <c r="BM456" s="132"/>
      <c r="BN456" s="132"/>
      <c r="BO456" s="132"/>
      <c r="BP456" s="132"/>
      <c r="BQ456" s="132"/>
      <c r="BR456" s="132"/>
      <c r="BS456" s="132"/>
      <c r="BT456" s="132"/>
      <c r="BU456" s="132"/>
      <c r="BV456" s="132"/>
      <c r="BW456" s="132"/>
      <c r="BX456" s="132"/>
      <c r="BY456" s="132"/>
      <c r="BZ456" s="132"/>
      <c r="CA456" s="132"/>
      <c r="CB456" s="132"/>
      <c r="CC456" s="132"/>
      <c r="CD456" s="132"/>
      <c r="CE456" s="132"/>
      <c r="CF456" s="132"/>
      <c r="CG456" s="140"/>
    </row>
    <row r="457" spans="1:85" s="139" customFormat="1" ht="13.9" customHeight="1" x14ac:dyDescent="0.2">
      <c r="A457" s="184" t="s">
        <v>714</v>
      </c>
      <c r="B457" s="185">
        <v>53</v>
      </c>
      <c r="C457" s="186" t="s">
        <v>754</v>
      </c>
      <c r="D457" s="186" t="s">
        <v>738</v>
      </c>
      <c r="E457" s="187"/>
      <c r="F457" s="187">
        <f>285386566-142693283</f>
        <v>142693283</v>
      </c>
      <c r="G457" s="187"/>
      <c r="H457" s="188" t="s">
        <v>749</v>
      </c>
      <c r="I457" s="189" t="s">
        <v>742</v>
      </c>
      <c r="J457" s="206">
        <v>1</v>
      </c>
      <c r="K457" s="206">
        <v>2</v>
      </c>
      <c r="L457" s="206">
        <v>10</v>
      </c>
      <c r="M457" s="185">
        <v>1</v>
      </c>
      <c r="N457" s="193" t="s">
        <v>36</v>
      </c>
      <c r="O457" s="194" t="s">
        <v>256</v>
      </c>
      <c r="P457" s="195">
        <v>1</v>
      </c>
      <c r="Q457" s="196">
        <f t="shared" si="113"/>
        <v>142693283</v>
      </c>
      <c r="R457" s="196">
        <f t="shared" si="114"/>
        <v>142693283</v>
      </c>
      <c r="S457" s="197" t="s">
        <v>217</v>
      </c>
      <c r="T457" s="193">
        <v>0</v>
      </c>
      <c r="U457" s="198" t="str">
        <f t="shared" si="108"/>
        <v>SUBDIRECCION DE GESTION CONTRACTUAL</v>
      </c>
      <c r="V457" s="185" t="str">
        <f t="shared" si="109"/>
        <v>CO-DC</v>
      </c>
      <c r="W457" s="198" t="str">
        <f t="shared" si="110"/>
        <v>Distrito Capital de Bogotá</v>
      </c>
      <c r="X457" s="199" t="s">
        <v>747</v>
      </c>
      <c r="Y457" s="185">
        <v>2427400</v>
      </c>
      <c r="Z457" s="200" t="s">
        <v>718</v>
      </c>
      <c r="AA457" s="134"/>
      <c r="AB457" s="134"/>
      <c r="AC457" s="134"/>
      <c r="AD457" s="134"/>
      <c r="AE457" s="134"/>
      <c r="AF457" s="134"/>
      <c r="AG457" s="134"/>
      <c r="AH457" s="134"/>
      <c r="AI457" s="134"/>
      <c r="AJ457" s="134"/>
      <c r="AK457" s="134"/>
      <c r="AL457" s="134"/>
      <c r="AM457" s="134"/>
      <c r="AN457" s="134"/>
      <c r="AO457" s="134"/>
      <c r="AP457" s="134"/>
      <c r="AQ457" s="134"/>
      <c r="AR457" s="134"/>
      <c r="AS457" s="134"/>
      <c r="AT457" s="134"/>
      <c r="AU457" s="132"/>
      <c r="AV457" s="132"/>
      <c r="AW457" s="132"/>
      <c r="AX457" s="132"/>
      <c r="AY457" s="132"/>
      <c r="AZ457" s="132"/>
      <c r="BA457" s="132"/>
      <c r="BB457" s="132"/>
      <c r="BC457" s="132"/>
      <c r="BD457" s="132"/>
      <c r="BE457" s="132"/>
      <c r="BF457" s="132"/>
      <c r="BG457" s="132"/>
      <c r="BH457" s="132"/>
      <c r="BI457" s="132"/>
      <c r="BJ457" s="132"/>
      <c r="BK457" s="132"/>
      <c r="BL457" s="132"/>
      <c r="BM457" s="132"/>
      <c r="BN457" s="132"/>
      <c r="BO457" s="132"/>
      <c r="BP457" s="132"/>
      <c r="BQ457" s="132"/>
      <c r="BR457" s="132"/>
      <c r="BS457" s="132"/>
      <c r="BT457" s="132"/>
      <c r="BU457" s="132"/>
      <c r="BV457" s="132"/>
      <c r="BW457" s="132"/>
      <c r="BX457" s="132"/>
      <c r="BY457" s="132"/>
      <c r="BZ457" s="132"/>
      <c r="CA457" s="132"/>
      <c r="CB457" s="132"/>
      <c r="CC457" s="132"/>
      <c r="CD457" s="132"/>
      <c r="CE457" s="132"/>
      <c r="CF457" s="132"/>
      <c r="CG457" s="140"/>
    </row>
    <row r="458" spans="1:85" s="139" customFormat="1" ht="13.9" customHeight="1" x14ac:dyDescent="0.2">
      <c r="A458" s="184" t="s">
        <v>714</v>
      </c>
      <c r="B458" s="185">
        <v>54</v>
      </c>
      <c r="C458" s="186" t="s">
        <v>754</v>
      </c>
      <c r="D458" s="186" t="s">
        <v>739</v>
      </c>
      <c r="E458" s="187"/>
      <c r="F458" s="187">
        <f>46975071- 23487536</f>
        <v>23487535</v>
      </c>
      <c r="G458" s="187"/>
      <c r="H458" s="188" t="s">
        <v>749</v>
      </c>
      <c r="I458" s="189" t="s">
        <v>742</v>
      </c>
      <c r="J458" s="206">
        <v>1</v>
      </c>
      <c r="K458" s="206">
        <v>2</v>
      </c>
      <c r="L458" s="206">
        <v>10</v>
      </c>
      <c r="M458" s="185">
        <v>1</v>
      </c>
      <c r="N458" s="193" t="s">
        <v>36</v>
      </c>
      <c r="O458" s="194" t="s">
        <v>256</v>
      </c>
      <c r="P458" s="195">
        <v>1</v>
      </c>
      <c r="Q458" s="196">
        <f t="shared" si="113"/>
        <v>23487535</v>
      </c>
      <c r="R458" s="196">
        <f t="shared" si="114"/>
        <v>23487535</v>
      </c>
      <c r="S458" s="197" t="s">
        <v>217</v>
      </c>
      <c r="T458" s="193">
        <v>0</v>
      </c>
      <c r="U458" s="198" t="str">
        <f t="shared" si="108"/>
        <v>SUBDIRECCION DE GESTION CONTRACTUAL</v>
      </c>
      <c r="V458" s="185" t="str">
        <f t="shared" si="109"/>
        <v>CO-DC</v>
      </c>
      <c r="W458" s="198" t="str">
        <f t="shared" si="110"/>
        <v>Distrito Capital de Bogotá</v>
      </c>
      <c r="X458" s="199" t="s">
        <v>747</v>
      </c>
      <c r="Y458" s="185">
        <v>2427400</v>
      </c>
      <c r="Z458" s="200" t="s">
        <v>718</v>
      </c>
      <c r="AA458" s="134"/>
      <c r="AB458" s="134"/>
      <c r="AC458" s="134"/>
      <c r="AD458" s="134"/>
      <c r="AE458" s="134"/>
      <c r="AF458" s="134"/>
      <c r="AG458" s="134"/>
      <c r="AH458" s="134"/>
      <c r="AI458" s="134"/>
      <c r="AJ458" s="134"/>
      <c r="AK458" s="134"/>
      <c r="AL458" s="134"/>
      <c r="AM458" s="134"/>
      <c r="AN458" s="134"/>
      <c r="AO458" s="134"/>
      <c r="AP458" s="134"/>
      <c r="AQ458" s="134"/>
      <c r="AR458" s="134"/>
      <c r="AS458" s="134"/>
      <c r="AT458" s="134"/>
      <c r="AU458" s="132"/>
      <c r="AV458" s="132"/>
      <c r="AW458" s="132"/>
      <c r="AX458" s="132"/>
      <c r="AY458" s="132"/>
      <c r="AZ458" s="132"/>
      <c r="BA458" s="132"/>
      <c r="BB458" s="132"/>
      <c r="BC458" s="132"/>
      <c r="BD458" s="132"/>
      <c r="BE458" s="132"/>
      <c r="BF458" s="132"/>
      <c r="BG458" s="132"/>
      <c r="BH458" s="132"/>
      <c r="BI458" s="132"/>
      <c r="BJ458" s="132"/>
      <c r="BK458" s="132"/>
      <c r="BL458" s="132"/>
      <c r="BM458" s="132"/>
      <c r="BN458" s="132"/>
      <c r="BO458" s="132"/>
      <c r="BP458" s="132"/>
      <c r="BQ458" s="132"/>
      <c r="BR458" s="132"/>
      <c r="BS458" s="132"/>
      <c r="BT458" s="132"/>
      <c r="BU458" s="132"/>
      <c r="BV458" s="132"/>
      <c r="BW458" s="132"/>
      <c r="BX458" s="132"/>
      <c r="BY458" s="132"/>
      <c r="BZ458" s="132"/>
      <c r="CA458" s="132"/>
      <c r="CB458" s="132"/>
      <c r="CC458" s="132"/>
      <c r="CD458" s="132"/>
      <c r="CE458" s="132"/>
      <c r="CF458" s="132"/>
      <c r="CG458" s="140"/>
    </row>
    <row r="459" spans="1:85" s="139" customFormat="1" ht="13.9" customHeight="1" x14ac:dyDescent="0.2">
      <c r="A459" s="184" t="s">
        <v>714</v>
      </c>
      <c r="B459" s="185">
        <v>55</v>
      </c>
      <c r="C459" s="186" t="s">
        <v>754</v>
      </c>
      <c r="D459" s="186" t="s">
        <v>740</v>
      </c>
      <c r="E459" s="187"/>
      <c r="F459" s="187">
        <f>156030538- 78015269</f>
        <v>78015269</v>
      </c>
      <c r="G459" s="187"/>
      <c r="H459" s="188" t="s">
        <v>749</v>
      </c>
      <c r="I459" s="189" t="s">
        <v>742</v>
      </c>
      <c r="J459" s="206">
        <v>1</v>
      </c>
      <c r="K459" s="206">
        <v>2</v>
      </c>
      <c r="L459" s="206">
        <v>10</v>
      </c>
      <c r="M459" s="185">
        <v>1</v>
      </c>
      <c r="N459" s="193" t="s">
        <v>36</v>
      </c>
      <c r="O459" s="194" t="s">
        <v>256</v>
      </c>
      <c r="P459" s="195">
        <v>1</v>
      </c>
      <c r="Q459" s="196">
        <f t="shared" si="113"/>
        <v>78015269</v>
      </c>
      <c r="R459" s="196">
        <f t="shared" si="114"/>
        <v>78015269</v>
      </c>
      <c r="S459" s="197" t="s">
        <v>217</v>
      </c>
      <c r="T459" s="193">
        <v>0</v>
      </c>
      <c r="U459" s="198" t="str">
        <f t="shared" ref="U459:U522" si="115">IF(ISBLANK(N459),"","SUBDIRECCION DE GESTION CONTRACTUAL")</f>
        <v>SUBDIRECCION DE GESTION CONTRACTUAL</v>
      </c>
      <c r="V459" s="185" t="str">
        <f t="shared" ref="V459:V522" si="116">IF(ISBLANK(N459),"","CO-DC")</f>
        <v>CO-DC</v>
      </c>
      <c r="W459" s="198" t="str">
        <f t="shared" ref="W459:W522" si="117">IF(ISBLANK(N459),"","Distrito Capital de Bogotá")</f>
        <v>Distrito Capital de Bogotá</v>
      </c>
      <c r="X459" s="199" t="s">
        <v>747</v>
      </c>
      <c r="Y459" s="185">
        <v>2427400</v>
      </c>
      <c r="Z459" s="200" t="s">
        <v>718</v>
      </c>
      <c r="AA459" s="134"/>
      <c r="AB459" s="134"/>
      <c r="AC459" s="134"/>
      <c r="AD459" s="134"/>
      <c r="AE459" s="134"/>
      <c r="AF459" s="134"/>
      <c r="AG459" s="134"/>
      <c r="AH459" s="134"/>
      <c r="AI459" s="134"/>
      <c r="AJ459" s="134"/>
      <c r="AK459" s="134"/>
      <c r="AL459" s="134"/>
      <c r="AM459" s="134"/>
      <c r="AN459" s="134"/>
      <c r="AO459" s="134"/>
      <c r="AP459" s="134"/>
      <c r="AQ459" s="134"/>
      <c r="AR459" s="134"/>
      <c r="AS459" s="134"/>
      <c r="AT459" s="134"/>
      <c r="AU459" s="132"/>
      <c r="AV459" s="132"/>
      <c r="AW459" s="132"/>
      <c r="AX459" s="132"/>
      <c r="AY459" s="132"/>
      <c r="AZ459" s="132"/>
      <c r="BA459" s="132"/>
      <c r="BB459" s="132"/>
      <c r="BC459" s="132"/>
      <c r="BD459" s="132"/>
      <c r="BE459" s="132"/>
      <c r="BF459" s="132"/>
      <c r="BG459" s="132"/>
      <c r="BH459" s="132"/>
      <c r="BI459" s="132"/>
      <c r="BJ459" s="132"/>
      <c r="BK459" s="132"/>
      <c r="BL459" s="132"/>
      <c r="BM459" s="132"/>
      <c r="BN459" s="132"/>
      <c r="BO459" s="132"/>
      <c r="BP459" s="132"/>
      <c r="BQ459" s="132"/>
      <c r="BR459" s="132"/>
      <c r="BS459" s="132"/>
      <c r="BT459" s="132"/>
      <c r="BU459" s="132"/>
      <c r="BV459" s="132"/>
      <c r="BW459" s="132"/>
      <c r="BX459" s="132"/>
      <c r="BY459" s="132"/>
      <c r="BZ459" s="132"/>
      <c r="CA459" s="132"/>
      <c r="CB459" s="132"/>
      <c r="CC459" s="132"/>
      <c r="CD459" s="132"/>
      <c r="CE459" s="132"/>
      <c r="CF459" s="132"/>
      <c r="CG459" s="140"/>
    </row>
    <row r="460" spans="1:85" s="139" customFormat="1" ht="13.9" customHeight="1" x14ac:dyDescent="0.2">
      <c r="A460" s="184" t="s">
        <v>714</v>
      </c>
      <c r="B460" s="185">
        <v>56</v>
      </c>
      <c r="C460" s="186" t="s">
        <v>754</v>
      </c>
      <c r="D460" s="186" t="s">
        <v>741</v>
      </c>
      <c r="E460" s="187"/>
      <c r="F460" s="187">
        <f>190257716-95128858</f>
        <v>95128858</v>
      </c>
      <c r="G460" s="187"/>
      <c r="H460" s="188" t="s">
        <v>749</v>
      </c>
      <c r="I460" s="189" t="s">
        <v>742</v>
      </c>
      <c r="J460" s="206">
        <v>1</v>
      </c>
      <c r="K460" s="206">
        <v>2</v>
      </c>
      <c r="L460" s="206">
        <v>10</v>
      </c>
      <c r="M460" s="185">
        <v>1</v>
      </c>
      <c r="N460" s="193" t="s">
        <v>36</v>
      </c>
      <c r="O460" s="194" t="s">
        <v>256</v>
      </c>
      <c r="P460" s="195">
        <v>1</v>
      </c>
      <c r="Q460" s="196">
        <f t="shared" si="113"/>
        <v>95128858</v>
      </c>
      <c r="R460" s="196">
        <f t="shared" si="114"/>
        <v>95128858</v>
      </c>
      <c r="S460" s="197" t="s">
        <v>217</v>
      </c>
      <c r="T460" s="193">
        <v>0</v>
      </c>
      <c r="U460" s="198" t="str">
        <f t="shared" si="115"/>
        <v>SUBDIRECCION DE GESTION CONTRACTUAL</v>
      </c>
      <c r="V460" s="185" t="str">
        <f t="shared" si="116"/>
        <v>CO-DC</v>
      </c>
      <c r="W460" s="198" t="str">
        <f t="shared" si="117"/>
        <v>Distrito Capital de Bogotá</v>
      </c>
      <c r="X460" s="199" t="s">
        <v>747</v>
      </c>
      <c r="Y460" s="185">
        <v>2427400</v>
      </c>
      <c r="Z460" s="200" t="s">
        <v>718</v>
      </c>
      <c r="AA460" s="134"/>
      <c r="AB460" s="134"/>
      <c r="AC460" s="134"/>
      <c r="AD460" s="134"/>
      <c r="AE460" s="134"/>
      <c r="AF460" s="134"/>
      <c r="AG460" s="134"/>
      <c r="AH460" s="134"/>
      <c r="AI460" s="134"/>
      <c r="AJ460" s="134"/>
      <c r="AK460" s="134"/>
      <c r="AL460" s="134"/>
      <c r="AM460" s="134"/>
      <c r="AN460" s="134"/>
      <c r="AO460" s="134"/>
      <c r="AP460" s="134"/>
      <c r="AQ460" s="134"/>
      <c r="AR460" s="134"/>
      <c r="AS460" s="134"/>
      <c r="AT460" s="134"/>
      <c r="AU460" s="132"/>
      <c r="AV460" s="132"/>
      <c r="AW460" s="132"/>
      <c r="AX460" s="132"/>
      <c r="AY460" s="132"/>
      <c r="AZ460" s="132"/>
      <c r="BA460" s="132"/>
      <c r="BB460" s="132"/>
      <c r="BC460" s="132"/>
      <c r="BD460" s="132"/>
      <c r="BE460" s="132"/>
      <c r="BF460" s="132"/>
      <c r="BG460" s="132"/>
      <c r="BH460" s="132"/>
      <c r="BI460" s="132"/>
      <c r="BJ460" s="132"/>
      <c r="BK460" s="132"/>
      <c r="BL460" s="132"/>
      <c r="BM460" s="132"/>
      <c r="BN460" s="132"/>
      <c r="BO460" s="132"/>
      <c r="BP460" s="132"/>
      <c r="BQ460" s="132"/>
      <c r="BR460" s="132"/>
      <c r="BS460" s="132"/>
      <c r="BT460" s="132"/>
      <c r="BU460" s="132"/>
      <c r="BV460" s="132"/>
      <c r="BW460" s="132"/>
      <c r="BX460" s="132"/>
      <c r="BY460" s="132"/>
      <c r="BZ460" s="132"/>
      <c r="CA460" s="132"/>
      <c r="CB460" s="132"/>
      <c r="CC460" s="132"/>
      <c r="CD460" s="132"/>
      <c r="CE460" s="132"/>
      <c r="CF460" s="132"/>
      <c r="CG460" s="140"/>
    </row>
    <row r="461" spans="1:85" s="136" customFormat="1" ht="12.75" customHeight="1" x14ac:dyDescent="0.2">
      <c r="A461" s="184" t="s">
        <v>714</v>
      </c>
      <c r="B461" s="185">
        <v>57</v>
      </c>
      <c r="C461" s="186" t="s">
        <v>755</v>
      </c>
      <c r="D461" s="186" t="s">
        <v>731</v>
      </c>
      <c r="E461" s="187"/>
      <c r="F461" s="187">
        <f>327166403-186604992</f>
        <v>140561411</v>
      </c>
      <c r="G461" s="187"/>
      <c r="H461" s="188" t="s">
        <v>749</v>
      </c>
      <c r="I461" s="189" t="s">
        <v>742</v>
      </c>
      <c r="J461" s="206">
        <v>1</v>
      </c>
      <c r="K461" s="206">
        <v>2</v>
      </c>
      <c r="L461" s="206">
        <v>10</v>
      </c>
      <c r="M461" s="185">
        <v>1</v>
      </c>
      <c r="N461" s="193" t="s">
        <v>36</v>
      </c>
      <c r="O461" s="194" t="s">
        <v>256</v>
      </c>
      <c r="P461" s="195">
        <v>1</v>
      </c>
      <c r="Q461" s="196">
        <f t="shared" si="113"/>
        <v>140561411</v>
      </c>
      <c r="R461" s="196">
        <f t="shared" si="114"/>
        <v>140561411</v>
      </c>
      <c r="S461" s="197" t="s">
        <v>217</v>
      </c>
      <c r="T461" s="193">
        <v>0</v>
      </c>
      <c r="U461" s="198" t="str">
        <f t="shared" si="115"/>
        <v>SUBDIRECCION DE GESTION CONTRACTUAL</v>
      </c>
      <c r="V461" s="185" t="str">
        <f t="shared" si="116"/>
        <v>CO-DC</v>
      </c>
      <c r="W461" s="198" t="str">
        <f t="shared" si="117"/>
        <v>Distrito Capital de Bogotá</v>
      </c>
      <c r="X461" s="199" t="s">
        <v>747</v>
      </c>
      <c r="Y461" s="185">
        <v>2427400</v>
      </c>
      <c r="Z461" s="200" t="s">
        <v>718</v>
      </c>
      <c r="AA461" s="134"/>
      <c r="AB461" s="134"/>
      <c r="AC461" s="134"/>
      <c r="AD461" s="134"/>
      <c r="AE461" s="134"/>
      <c r="AF461" s="134"/>
      <c r="AG461" s="134"/>
      <c r="AH461" s="134"/>
      <c r="AI461" s="134"/>
      <c r="AJ461" s="134"/>
      <c r="AK461" s="134"/>
      <c r="AL461" s="134"/>
      <c r="AM461" s="134"/>
      <c r="AN461" s="134"/>
      <c r="AO461" s="134"/>
      <c r="AP461" s="134"/>
      <c r="AQ461" s="134"/>
      <c r="AR461" s="134"/>
      <c r="AS461" s="134"/>
      <c r="AT461" s="134"/>
      <c r="AU461" s="132"/>
      <c r="AV461" s="132"/>
      <c r="AW461" s="132"/>
      <c r="AX461" s="132"/>
      <c r="AY461" s="132"/>
      <c r="AZ461" s="132"/>
      <c r="BA461" s="132"/>
      <c r="BB461" s="132"/>
      <c r="BC461" s="132"/>
      <c r="BD461" s="132"/>
      <c r="BE461" s="132"/>
      <c r="BF461" s="132"/>
      <c r="BG461" s="132"/>
      <c r="BH461" s="132"/>
      <c r="BI461" s="132"/>
      <c r="BJ461" s="132"/>
      <c r="BK461" s="132"/>
      <c r="BL461" s="132"/>
      <c r="BM461" s="132"/>
      <c r="BN461" s="132"/>
      <c r="BO461" s="132"/>
      <c r="BP461" s="132"/>
      <c r="BQ461" s="132"/>
      <c r="BR461" s="132"/>
      <c r="BS461" s="132"/>
      <c r="BT461" s="132"/>
      <c r="BU461" s="132"/>
      <c r="BV461" s="132"/>
      <c r="BW461" s="132"/>
      <c r="BX461" s="132"/>
      <c r="BY461" s="132"/>
      <c r="BZ461" s="132"/>
      <c r="CA461" s="132"/>
      <c r="CB461" s="132"/>
      <c r="CC461" s="132"/>
      <c r="CD461" s="132"/>
      <c r="CE461" s="132"/>
      <c r="CF461" s="132"/>
      <c r="CG461" s="140"/>
    </row>
    <row r="462" spans="1:85" s="139" customFormat="1" ht="13.9" customHeight="1" x14ac:dyDescent="0.2">
      <c r="A462" s="184" t="s">
        <v>714</v>
      </c>
      <c r="B462" s="185">
        <v>58</v>
      </c>
      <c r="C462" s="186" t="s">
        <v>755</v>
      </c>
      <c r="D462" s="186" t="s">
        <v>734</v>
      </c>
      <c r="E462" s="187"/>
      <c r="F462" s="187">
        <f>218110938-109055469</f>
        <v>109055469</v>
      </c>
      <c r="G462" s="187"/>
      <c r="H462" s="188" t="s">
        <v>749</v>
      </c>
      <c r="I462" s="189" t="s">
        <v>742</v>
      </c>
      <c r="J462" s="206">
        <v>1</v>
      </c>
      <c r="K462" s="206">
        <v>2</v>
      </c>
      <c r="L462" s="206">
        <v>10</v>
      </c>
      <c r="M462" s="185">
        <v>1</v>
      </c>
      <c r="N462" s="193" t="s">
        <v>36</v>
      </c>
      <c r="O462" s="194" t="s">
        <v>256</v>
      </c>
      <c r="P462" s="195">
        <v>1</v>
      </c>
      <c r="Q462" s="196">
        <f t="shared" si="113"/>
        <v>109055469</v>
      </c>
      <c r="R462" s="196">
        <f t="shared" si="114"/>
        <v>109055469</v>
      </c>
      <c r="S462" s="197" t="s">
        <v>217</v>
      </c>
      <c r="T462" s="193">
        <v>0</v>
      </c>
      <c r="U462" s="198" t="str">
        <f t="shared" si="115"/>
        <v>SUBDIRECCION DE GESTION CONTRACTUAL</v>
      </c>
      <c r="V462" s="185" t="str">
        <f t="shared" si="116"/>
        <v>CO-DC</v>
      </c>
      <c r="W462" s="198" t="str">
        <f t="shared" si="117"/>
        <v>Distrito Capital de Bogotá</v>
      </c>
      <c r="X462" s="199" t="s">
        <v>747</v>
      </c>
      <c r="Y462" s="185">
        <v>2427400</v>
      </c>
      <c r="Z462" s="200" t="s">
        <v>718</v>
      </c>
      <c r="AA462" s="134"/>
      <c r="AB462" s="134"/>
      <c r="AC462" s="134"/>
      <c r="AD462" s="134"/>
      <c r="AE462" s="134"/>
      <c r="AF462" s="134"/>
      <c r="AG462" s="134"/>
      <c r="AH462" s="134"/>
      <c r="AI462" s="134"/>
      <c r="AJ462" s="134"/>
      <c r="AK462" s="134"/>
      <c r="AL462" s="134"/>
      <c r="AM462" s="134"/>
      <c r="AN462" s="134"/>
      <c r="AO462" s="134"/>
      <c r="AP462" s="134"/>
      <c r="AQ462" s="134"/>
      <c r="AR462" s="134"/>
      <c r="AS462" s="134"/>
      <c r="AT462" s="134"/>
      <c r="AU462" s="132"/>
      <c r="AV462" s="132"/>
      <c r="AW462" s="132"/>
      <c r="AX462" s="132"/>
      <c r="AY462" s="132"/>
      <c r="AZ462" s="132"/>
      <c r="BA462" s="132"/>
      <c r="BB462" s="132"/>
      <c r="BC462" s="132"/>
      <c r="BD462" s="132"/>
      <c r="BE462" s="132"/>
      <c r="BF462" s="132"/>
      <c r="BG462" s="132"/>
      <c r="BH462" s="132"/>
      <c r="BI462" s="132"/>
      <c r="BJ462" s="132"/>
      <c r="BK462" s="132"/>
      <c r="BL462" s="132"/>
      <c r="BM462" s="132"/>
      <c r="BN462" s="132"/>
      <c r="BO462" s="132"/>
      <c r="BP462" s="132"/>
      <c r="BQ462" s="132"/>
      <c r="BR462" s="132"/>
      <c r="BS462" s="132"/>
      <c r="BT462" s="132"/>
      <c r="BU462" s="132"/>
      <c r="BV462" s="132"/>
      <c r="BW462" s="132"/>
      <c r="BX462" s="132"/>
      <c r="BY462" s="132"/>
      <c r="BZ462" s="132"/>
      <c r="CA462" s="132"/>
      <c r="CB462" s="132"/>
      <c r="CC462" s="132"/>
      <c r="CD462" s="132"/>
      <c r="CE462" s="132"/>
      <c r="CF462" s="132"/>
      <c r="CG462" s="140"/>
    </row>
    <row r="463" spans="1:85" s="139" customFormat="1" ht="13.9" customHeight="1" x14ac:dyDescent="0.2">
      <c r="A463" s="184" t="s">
        <v>714</v>
      </c>
      <c r="B463" s="185">
        <v>59</v>
      </c>
      <c r="C463" s="186" t="s">
        <v>755</v>
      </c>
      <c r="D463" s="186" t="s">
        <v>737</v>
      </c>
      <c r="E463" s="187"/>
      <c r="F463" s="187">
        <f>327166404-163583202</f>
        <v>163583202</v>
      </c>
      <c r="G463" s="187"/>
      <c r="H463" s="188" t="s">
        <v>749</v>
      </c>
      <c r="I463" s="189" t="s">
        <v>742</v>
      </c>
      <c r="J463" s="206">
        <v>1</v>
      </c>
      <c r="K463" s="206">
        <v>2</v>
      </c>
      <c r="L463" s="206">
        <v>10</v>
      </c>
      <c r="M463" s="185">
        <v>1</v>
      </c>
      <c r="N463" s="193" t="s">
        <v>36</v>
      </c>
      <c r="O463" s="194" t="s">
        <v>256</v>
      </c>
      <c r="P463" s="195">
        <v>1</v>
      </c>
      <c r="Q463" s="196">
        <f t="shared" si="113"/>
        <v>163583202</v>
      </c>
      <c r="R463" s="196">
        <f t="shared" si="114"/>
        <v>163583202</v>
      </c>
      <c r="S463" s="197" t="s">
        <v>217</v>
      </c>
      <c r="T463" s="193">
        <v>0</v>
      </c>
      <c r="U463" s="198" t="str">
        <f t="shared" si="115"/>
        <v>SUBDIRECCION DE GESTION CONTRACTUAL</v>
      </c>
      <c r="V463" s="185" t="str">
        <f t="shared" si="116"/>
        <v>CO-DC</v>
      </c>
      <c r="W463" s="198" t="str">
        <f t="shared" si="117"/>
        <v>Distrito Capital de Bogotá</v>
      </c>
      <c r="X463" s="199" t="s">
        <v>747</v>
      </c>
      <c r="Y463" s="185">
        <v>2427400</v>
      </c>
      <c r="Z463" s="200" t="s">
        <v>718</v>
      </c>
      <c r="AA463" s="134"/>
      <c r="AB463" s="134"/>
      <c r="AC463" s="134"/>
      <c r="AD463" s="134"/>
      <c r="AE463" s="134"/>
      <c r="AF463" s="134"/>
      <c r="AG463" s="134"/>
      <c r="AH463" s="134"/>
      <c r="AI463" s="134"/>
      <c r="AJ463" s="134"/>
      <c r="AK463" s="134"/>
      <c r="AL463" s="134"/>
      <c r="AM463" s="134"/>
      <c r="AN463" s="134"/>
      <c r="AO463" s="134"/>
      <c r="AP463" s="134"/>
      <c r="AQ463" s="134"/>
      <c r="AR463" s="134"/>
      <c r="AS463" s="134"/>
      <c r="AT463" s="134"/>
      <c r="AU463" s="132"/>
      <c r="AV463" s="132"/>
      <c r="AW463" s="132"/>
      <c r="AX463" s="132"/>
      <c r="AY463" s="132"/>
      <c r="AZ463" s="132"/>
      <c r="BA463" s="132"/>
      <c r="BB463" s="132"/>
      <c r="BC463" s="132"/>
      <c r="BD463" s="132"/>
      <c r="BE463" s="132"/>
      <c r="BF463" s="132"/>
      <c r="BG463" s="132"/>
      <c r="BH463" s="132"/>
      <c r="BI463" s="132"/>
      <c r="BJ463" s="132"/>
      <c r="BK463" s="132"/>
      <c r="BL463" s="132"/>
      <c r="BM463" s="132"/>
      <c r="BN463" s="132"/>
      <c r="BO463" s="132"/>
      <c r="BP463" s="132"/>
      <c r="BQ463" s="132"/>
      <c r="BR463" s="132"/>
      <c r="BS463" s="132"/>
      <c r="BT463" s="132"/>
      <c r="BU463" s="132"/>
      <c r="BV463" s="132"/>
      <c r="BW463" s="132"/>
      <c r="BX463" s="132"/>
      <c r="BY463" s="132"/>
      <c r="BZ463" s="132"/>
      <c r="CA463" s="132"/>
      <c r="CB463" s="132"/>
      <c r="CC463" s="132"/>
      <c r="CD463" s="132"/>
      <c r="CE463" s="132"/>
      <c r="CF463" s="132"/>
      <c r="CG463" s="140"/>
    </row>
    <row r="464" spans="1:85" s="139" customFormat="1" ht="13.9" customHeight="1" x14ac:dyDescent="0.2">
      <c r="A464" s="184" t="s">
        <v>714</v>
      </c>
      <c r="B464" s="185">
        <v>60</v>
      </c>
      <c r="C464" s="186" t="s">
        <v>755</v>
      </c>
      <c r="D464" s="186" t="s">
        <v>740</v>
      </c>
      <c r="E464" s="187"/>
      <c r="F464" s="187">
        <f>218110938-109055469</f>
        <v>109055469</v>
      </c>
      <c r="G464" s="187"/>
      <c r="H464" s="188" t="s">
        <v>749</v>
      </c>
      <c r="I464" s="189" t="s">
        <v>742</v>
      </c>
      <c r="J464" s="206">
        <v>1</v>
      </c>
      <c r="K464" s="206">
        <v>2</v>
      </c>
      <c r="L464" s="206">
        <v>10</v>
      </c>
      <c r="M464" s="185">
        <v>1</v>
      </c>
      <c r="N464" s="193" t="s">
        <v>36</v>
      </c>
      <c r="O464" s="194" t="s">
        <v>256</v>
      </c>
      <c r="P464" s="195">
        <v>1</v>
      </c>
      <c r="Q464" s="196">
        <f t="shared" si="113"/>
        <v>109055469</v>
      </c>
      <c r="R464" s="196">
        <f t="shared" si="114"/>
        <v>109055469</v>
      </c>
      <c r="S464" s="197" t="s">
        <v>217</v>
      </c>
      <c r="T464" s="193">
        <v>0</v>
      </c>
      <c r="U464" s="198" t="str">
        <f t="shared" si="115"/>
        <v>SUBDIRECCION DE GESTION CONTRACTUAL</v>
      </c>
      <c r="V464" s="185" t="str">
        <f t="shared" si="116"/>
        <v>CO-DC</v>
      </c>
      <c r="W464" s="198" t="str">
        <f t="shared" si="117"/>
        <v>Distrito Capital de Bogotá</v>
      </c>
      <c r="X464" s="199" t="s">
        <v>747</v>
      </c>
      <c r="Y464" s="185">
        <v>2427400</v>
      </c>
      <c r="Z464" s="200" t="s">
        <v>718</v>
      </c>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2"/>
      <c r="AV464" s="132"/>
      <c r="AW464" s="132"/>
      <c r="AX464" s="132"/>
      <c r="AY464" s="132"/>
      <c r="AZ464" s="132"/>
      <c r="BA464" s="132"/>
      <c r="BB464" s="132"/>
      <c r="BC464" s="132"/>
      <c r="BD464" s="132"/>
      <c r="BE464" s="132"/>
      <c r="BF464" s="132"/>
      <c r="BG464" s="132"/>
      <c r="BH464" s="132"/>
      <c r="BI464" s="132"/>
      <c r="BJ464" s="132"/>
      <c r="BK464" s="132"/>
      <c r="BL464" s="132"/>
      <c r="BM464" s="132"/>
      <c r="BN464" s="132"/>
      <c r="BO464" s="132"/>
      <c r="BP464" s="132"/>
      <c r="BQ464" s="132"/>
      <c r="BR464" s="132"/>
      <c r="BS464" s="132"/>
      <c r="BT464" s="132"/>
      <c r="BU464" s="132"/>
      <c r="BV464" s="132"/>
      <c r="BW464" s="132"/>
      <c r="BX464" s="132"/>
      <c r="BY464" s="132"/>
      <c r="BZ464" s="132"/>
      <c r="CA464" s="132"/>
      <c r="CB464" s="132"/>
      <c r="CC464" s="132"/>
      <c r="CD464" s="132"/>
      <c r="CE464" s="132"/>
      <c r="CF464" s="132"/>
      <c r="CG464" s="140"/>
    </row>
    <row r="465" spans="1:85" s="7" customFormat="1" ht="12.75" customHeight="1" x14ac:dyDescent="0.2">
      <c r="A465" s="184" t="s">
        <v>714</v>
      </c>
      <c r="B465" s="185">
        <v>61</v>
      </c>
      <c r="C465" s="186" t="s">
        <v>785</v>
      </c>
      <c r="D465" s="186" t="s">
        <v>731</v>
      </c>
      <c r="E465" s="187"/>
      <c r="F465" s="187">
        <v>140561412</v>
      </c>
      <c r="G465" s="187"/>
      <c r="H465" s="188" t="s">
        <v>792</v>
      </c>
      <c r="I465" s="189" t="s">
        <v>786</v>
      </c>
      <c r="J465" s="206">
        <v>2</v>
      </c>
      <c r="K465" s="206">
        <v>2</v>
      </c>
      <c r="L465" s="206">
        <v>10</v>
      </c>
      <c r="M465" s="185">
        <v>1</v>
      </c>
      <c r="N465" s="193" t="s">
        <v>36</v>
      </c>
      <c r="O465" s="194" t="s">
        <v>256</v>
      </c>
      <c r="P465" s="195">
        <v>10</v>
      </c>
      <c r="Q465" s="196">
        <v>140561412</v>
      </c>
      <c r="R465" s="196">
        <v>140561412</v>
      </c>
      <c r="S465" s="197" t="s">
        <v>217</v>
      </c>
      <c r="T465" s="193">
        <v>0</v>
      </c>
      <c r="U465" s="198" t="str">
        <f t="shared" si="115"/>
        <v>SUBDIRECCION DE GESTION CONTRACTUAL</v>
      </c>
      <c r="V465" s="185" t="str">
        <f t="shared" si="116"/>
        <v>CO-DC</v>
      </c>
      <c r="W465" s="198" t="str">
        <f t="shared" si="117"/>
        <v>Distrito Capital de Bogotá</v>
      </c>
      <c r="X465" s="199" t="s">
        <v>717</v>
      </c>
      <c r="Y465" s="185">
        <v>2427400</v>
      </c>
      <c r="Z465" s="200" t="s">
        <v>718</v>
      </c>
    </row>
    <row r="466" spans="1:85" s="7" customFormat="1" ht="12.75" customHeight="1" x14ac:dyDescent="0.2">
      <c r="A466" s="184" t="s">
        <v>714</v>
      </c>
      <c r="B466" s="185">
        <v>62</v>
      </c>
      <c r="C466" s="186" t="s">
        <v>785</v>
      </c>
      <c r="D466" s="186" t="s">
        <v>734</v>
      </c>
      <c r="E466" s="187"/>
      <c r="F466" s="187">
        <v>109055469</v>
      </c>
      <c r="G466" s="187"/>
      <c r="H466" s="188" t="s">
        <v>792</v>
      </c>
      <c r="I466" s="189" t="s">
        <v>786</v>
      </c>
      <c r="J466" s="206">
        <v>2</v>
      </c>
      <c r="K466" s="206">
        <v>2</v>
      </c>
      <c r="L466" s="206">
        <v>10</v>
      </c>
      <c r="M466" s="185">
        <v>1</v>
      </c>
      <c r="N466" s="193" t="s">
        <v>36</v>
      </c>
      <c r="O466" s="194" t="s">
        <v>256</v>
      </c>
      <c r="P466" s="195">
        <v>10</v>
      </c>
      <c r="Q466" s="196">
        <v>109055469</v>
      </c>
      <c r="R466" s="196">
        <v>109055469</v>
      </c>
      <c r="S466" s="197" t="s">
        <v>217</v>
      </c>
      <c r="T466" s="193">
        <v>0</v>
      </c>
      <c r="U466" s="198" t="str">
        <f t="shared" si="115"/>
        <v>SUBDIRECCION DE GESTION CONTRACTUAL</v>
      </c>
      <c r="V466" s="185" t="str">
        <f t="shared" si="116"/>
        <v>CO-DC</v>
      </c>
      <c r="W466" s="198" t="str">
        <f t="shared" si="117"/>
        <v>Distrito Capital de Bogotá</v>
      </c>
      <c r="X466" s="199" t="s">
        <v>717</v>
      </c>
      <c r="Y466" s="185">
        <v>2427400</v>
      </c>
      <c r="Z466" s="200" t="s">
        <v>718</v>
      </c>
    </row>
    <row r="467" spans="1:85" s="139" customFormat="1" ht="13.9" customHeight="1" x14ac:dyDescent="0.2">
      <c r="A467" s="184" t="s">
        <v>714</v>
      </c>
      <c r="B467" s="185">
        <v>63</v>
      </c>
      <c r="C467" s="186" t="s">
        <v>785</v>
      </c>
      <c r="D467" s="186" t="s">
        <v>737</v>
      </c>
      <c r="E467" s="187"/>
      <c r="F467" s="187">
        <v>163583202</v>
      </c>
      <c r="G467" s="187"/>
      <c r="H467" s="188" t="s">
        <v>792</v>
      </c>
      <c r="I467" s="189" t="s">
        <v>786</v>
      </c>
      <c r="J467" s="206">
        <v>2</v>
      </c>
      <c r="K467" s="206">
        <v>2</v>
      </c>
      <c r="L467" s="206">
        <v>10</v>
      </c>
      <c r="M467" s="185">
        <v>1</v>
      </c>
      <c r="N467" s="193" t="s">
        <v>36</v>
      </c>
      <c r="O467" s="194" t="s">
        <v>256</v>
      </c>
      <c r="P467" s="195">
        <v>10</v>
      </c>
      <c r="Q467" s="196">
        <v>163583202</v>
      </c>
      <c r="R467" s="196">
        <v>163583202</v>
      </c>
      <c r="S467" s="197" t="s">
        <v>217</v>
      </c>
      <c r="T467" s="193">
        <v>0</v>
      </c>
      <c r="U467" s="198" t="str">
        <f t="shared" si="115"/>
        <v>SUBDIRECCION DE GESTION CONTRACTUAL</v>
      </c>
      <c r="V467" s="185" t="str">
        <f t="shared" si="116"/>
        <v>CO-DC</v>
      </c>
      <c r="W467" s="198" t="str">
        <f t="shared" si="117"/>
        <v>Distrito Capital de Bogotá</v>
      </c>
      <c r="X467" s="199" t="s">
        <v>717</v>
      </c>
      <c r="Y467" s="185">
        <v>2427400</v>
      </c>
      <c r="Z467" s="200" t="s">
        <v>718</v>
      </c>
      <c r="AA467" s="134"/>
      <c r="AB467" s="134"/>
      <c r="AC467" s="134"/>
      <c r="AD467" s="134"/>
      <c r="AE467" s="134"/>
      <c r="AF467" s="134"/>
      <c r="AG467" s="134"/>
      <c r="AH467" s="134"/>
      <c r="AI467" s="134"/>
      <c r="AJ467" s="134"/>
      <c r="AK467" s="134"/>
      <c r="AL467" s="134"/>
      <c r="AM467" s="134"/>
      <c r="AN467" s="134"/>
      <c r="AO467" s="134"/>
      <c r="AP467" s="134"/>
      <c r="AQ467" s="134"/>
      <c r="AR467" s="134"/>
      <c r="AS467" s="134"/>
      <c r="AT467" s="134"/>
      <c r="AU467" s="132"/>
      <c r="AV467" s="132"/>
      <c r="AW467" s="132"/>
      <c r="AX467" s="132"/>
      <c r="AY467" s="132"/>
      <c r="AZ467" s="132"/>
      <c r="BA467" s="132"/>
      <c r="BB467" s="132"/>
      <c r="BC467" s="132"/>
      <c r="BD467" s="132"/>
      <c r="BE467" s="132"/>
      <c r="BF467" s="132"/>
      <c r="BG467" s="132"/>
      <c r="BH467" s="132"/>
      <c r="BI467" s="132"/>
      <c r="BJ467" s="132"/>
      <c r="BK467" s="132"/>
      <c r="BL467" s="132"/>
      <c r="BM467" s="132"/>
      <c r="BN467" s="132"/>
      <c r="BO467" s="132"/>
      <c r="BP467" s="132"/>
      <c r="BQ467" s="132"/>
      <c r="BR467" s="132"/>
      <c r="BS467" s="132"/>
      <c r="BT467" s="132"/>
      <c r="BU467" s="132"/>
      <c r="BV467" s="132"/>
      <c r="BW467" s="132"/>
      <c r="BX467" s="132"/>
      <c r="BY467" s="132"/>
      <c r="BZ467" s="132"/>
      <c r="CA467" s="132"/>
      <c r="CB467" s="132"/>
      <c r="CC467" s="132"/>
      <c r="CD467" s="132"/>
      <c r="CE467" s="132"/>
      <c r="CF467" s="132"/>
      <c r="CG467" s="140"/>
    </row>
    <row r="468" spans="1:85" s="139" customFormat="1" ht="13.9" customHeight="1" x14ac:dyDescent="0.2">
      <c r="A468" s="184" t="s">
        <v>714</v>
      </c>
      <c r="B468" s="185">
        <v>64</v>
      </c>
      <c r="C468" s="186" t="s">
        <v>785</v>
      </c>
      <c r="D468" s="186" t="s">
        <v>740</v>
      </c>
      <c r="E468" s="187"/>
      <c r="F468" s="187">
        <v>109055469</v>
      </c>
      <c r="G468" s="187"/>
      <c r="H468" s="188" t="s">
        <v>792</v>
      </c>
      <c r="I468" s="189" t="s">
        <v>786</v>
      </c>
      <c r="J468" s="206">
        <v>2</v>
      </c>
      <c r="K468" s="206">
        <v>2</v>
      </c>
      <c r="L468" s="206">
        <v>10</v>
      </c>
      <c r="M468" s="185">
        <v>1</v>
      </c>
      <c r="N468" s="193" t="s">
        <v>36</v>
      </c>
      <c r="O468" s="194" t="s">
        <v>256</v>
      </c>
      <c r="P468" s="195">
        <v>10</v>
      </c>
      <c r="Q468" s="196">
        <v>109055469</v>
      </c>
      <c r="R468" s="196">
        <v>109055469</v>
      </c>
      <c r="S468" s="197" t="s">
        <v>217</v>
      </c>
      <c r="T468" s="193">
        <v>0</v>
      </c>
      <c r="U468" s="198" t="str">
        <f t="shared" si="115"/>
        <v>SUBDIRECCION DE GESTION CONTRACTUAL</v>
      </c>
      <c r="V468" s="185" t="str">
        <f t="shared" si="116"/>
        <v>CO-DC</v>
      </c>
      <c r="W468" s="198" t="str">
        <f t="shared" si="117"/>
        <v>Distrito Capital de Bogotá</v>
      </c>
      <c r="X468" s="199" t="s">
        <v>717</v>
      </c>
      <c r="Y468" s="185">
        <v>2427400</v>
      </c>
      <c r="Z468" s="200" t="s">
        <v>718</v>
      </c>
      <c r="AA468" s="134"/>
      <c r="AB468" s="134"/>
      <c r="AC468" s="134"/>
      <c r="AD468" s="134"/>
      <c r="AE468" s="134"/>
      <c r="AF468" s="134"/>
      <c r="AG468" s="134"/>
      <c r="AH468" s="134"/>
      <c r="AI468" s="134"/>
      <c r="AJ468" s="134"/>
      <c r="AK468" s="134"/>
      <c r="AL468" s="134"/>
      <c r="AM468" s="134"/>
      <c r="AN468" s="134"/>
      <c r="AO468" s="134"/>
      <c r="AP468" s="134"/>
      <c r="AQ468" s="134"/>
      <c r="AR468" s="134"/>
      <c r="AS468" s="134"/>
      <c r="AT468" s="134"/>
      <c r="AU468" s="132"/>
      <c r="AV468" s="132"/>
      <c r="AW468" s="132"/>
      <c r="AX468" s="132"/>
      <c r="AY468" s="132"/>
      <c r="AZ468" s="132"/>
      <c r="BA468" s="132"/>
      <c r="BB468" s="132"/>
      <c r="BC468" s="132"/>
      <c r="BD468" s="132"/>
      <c r="BE468" s="132"/>
      <c r="BF468" s="132"/>
      <c r="BG468" s="132"/>
      <c r="BH468" s="132"/>
      <c r="BI468" s="132"/>
      <c r="BJ468" s="132"/>
      <c r="BK468" s="132"/>
      <c r="BL468" s="132"/>
      <c r="BM468" s="132"/>
      <c r="BN468" s="132"/>
      <c r="BO468" s="132"/>
      <c r="BP468" s="132"/>
      <c r="BQ468" s="132"/>
      <c r="BR468" s="132"/>
      <c r="BS468" s="132"/>
      <c r="BT468" s="132"/>
      <c r="BU468" s="132"/>
      <c r="BV468" s="132"/>
      <c r="BW468" s="132"/>
      <c r="BX468" s="132"/>
      <c r="BY468" s="132"/>
      <c r="BZ468" s="132"/>
      <c r="CA468" s="132"/>
      <c r="CB468" s="132"/>
      <c r="CC468" s="132"/>
      <c r="CD468" s="132"/>
      <c r="CE468" s="132"/>
      <c r="CF468" s="132"/>
      <c r="CG468" s="140"/>
    </row>
    <row r="469" spans="1:85" s="136" customFormat="1" ht="12.75" customHeight="1" x14ac:dyDescent="0.2">
      <c r="A469" s="184" t="s">
        <v>714</v>
      </c>
      <c r="B469" s="185">
        <v>65</v>
      </c>
      <c r="C469" s="186" t="s">
        <v>787</v>
      </c>
      <c r="D469" s="186" t="s">
        <v>730</v>
      </c>
      <c r="E469" s="187"/>
      <c r="F469" s="187">
        <v>16100970</v>
      </c>
      <c r="G469" s="187"/>
      <c r="H469" s="188" t="s">
        <v>792</v>
      </c>
      <c r="I469" s="189" t="s">
        <v>786</v>
      </c>
      <c r="J469" s="206">
        <v>2</v>
      </c>
      <c r="K469" s="206">
        <v>2</v>
      </c>
      <c r="L469" s="206">
        <v>10</v>
      </c>
      <c r="M469" s="185">
        <v>1</v>
      </c>
      <c r="N469" s="193" t="s">
        <v>36</v>
      </c>
      <c r="O469" s="194" t="s">
        <v>256</v>
      </c>
      <c r="P469" s="195">
        <v>10</v>
      </c>
      <c r="Q469" s="196">
        <v>16100970</v>
      </c>
      <c r="R469" s="196">
        <v>16100970</v>
      </c>
      <c r="S469" s="197" t="s">
        <v>217</v>
      </c>
      <c r="T469" s="193">
        <v>0</v>
      </c>
      <c r="U469" s="198" t="str">
        <f t="shared" si="115"/>
        <v>SUBDIRECCION DE GESTION CONTRACTUAL</v>
      </c>
      <c r="V469" s="185" t="str">
        <f t="shared" si="116"/>
        <v>CO-DC</v>
      </c>
      <c r="W469" s="198" t="str">
        <f t="shared" si="117"/>
        <v>Distrito Capital de Bogotá</v>
      </c>
      <c r="X469" s="199" t="s">
        <v>717</v>
      </c>
      <c r="Y469" s="185">
        <v>2427400</v>
      </c>
      <c r="Z469" s="200" t="s">
        <v>718</v>
      </c>
      <c r="AA469" s="134"/>
      <c r="AB469" s="134"/>
      <c r="AC469" s="134"/>
      <c r="AD469" s="134"/>
      <c r="AE469" s="134"/>
      <c r="AF469" s="134"/>
      <c r="AG469" s="134"/>
      <c r="AH469" s="134"/>
      <c r="AI469" s="134"/>
      <c r="AJ469" s="134"/>
      <c r="AK469" s="134"/>
      <c r="AL469" s="134"/>
      <c r="AM469" s="134"/>
      <c r="AN469" s="134"/>
      <c r="AO469" s="134"/>
      <c r="AP469" s="134"/>
      <c r="AQ469" s="134"/>
      <c r="AR469" s="134"/>
      <c r="AS469" s="134"/>
      <c r="AT469" s="134"/>
      <c r="AU469" s="132"/>
      <c r="AV469" s="132"/>
      <c r="AW469" s="132"/>
      <c r="AX469" s="132"/>
      <c r="AY469" s="132"/>
      <c r="AZ469" s="132"/>
      <c r="BA469" s="132"/>
      <c r="BB469" s="132"/>
      <c r="BC469" s="132"/>
      <c r="BD469" s="132"/>
      <c r="BE469" s="132"/>
      <c r="BF469" s="132"/>
      <c r="BG469" s="132"/>
      <c r="BH469" s="132"/>
      <c r="BI469" s="132"/>
      <c r="BJ469" s="132"/>
      <c r="BK469" s="132"/>
      <c r="BL469" s="132"/>
      <c r="BM469" s="132"/>
      <c r="BN469" s="132"/>
      <c r="BO469" s="132"/>
      <c r="BP469" s="132"/>
      <c r="BQ469" s="132"/>
      <c r="BR469" s="132"/>
      <c r="BS469" s="132"/>
      <c r="BT469" s="132"/>
      <c r="BU469" s="132"/>
      <c r="BV469" s="132"/>
      <c r="BW469" s="132"/>
      <c r="BX469" s="132"/>
      <c r="BY469" s="132"/>
      <c r="BZ469" s="132"/>
      <c r="CA469" s="132"/>
      <c r="CB469" s="132"/>
      <c r="CC469" s="132"/>
      <c r="CD469" s="132"/>
      <c r="CE469" s="132"/>
      <c r="CF469" s="132"/>
      <c r="CG469" s="140"/>
    </row>
    <row r="470" spans="1:85" s="139" customFormat="1" ht="13.9" customHeight="1" x14ac:dyDescent="0.2">
      <c r="A470" s="184" t="s">
        <v>714</v>
      </c>
      <c r="B470" s="185">
        <v>66</v>
      </c>
      <c r="C470" s="186" t="s">
        <v>787</v>
      </c>
      <c r="D470" s="186" t="s">
        <v>731</v>
      </c>
      <c r="E470" s="187"/>
      <c r="F470" s="187">
        <v>59173280</v>
      </c>
      <c r="G470" s="187"/>
      <c r="H470" s="188" t="s">
        <v>792</v>
      </c>
      <c r="I470" s="189" t="s">
        <v>786</v>
      </c>
      <c r="J470" s="206">
        <v>2</v>
      </c>
      <c r="K470" s="206">
        <v>2</v>
      </c>
      <c r="L470" s="206">
        <v>10</v>
      </c>
      <c r="M470" s="185">
        <v>1</v>
      </c>
      <c r="N470" s="193" t="s">
        <v>36</v>
      </c>
      <c r="O470" s="194" t="s">
        <v>256</v>
      </c>
      <c r="P470" s="195">
        <v>10</v>
      </c>
      <c r="Q470" s="196">
        <v>59173280</v>
      </c>
      <c r="R470" s="196">
        <v>59173280</v>
      </c>
      <c r="S470" s="197" t="s">
        <v>217</v>
      </c>
      <c r="T470" s="193">
        <v>0</v>
      </c>
      <c r="U470" s="198" t="str">
        <f t="shared" si="115"/>
        <v>SUBDIRECCION DE GESTION CONTRACTUAL</v>
      </c>
      <c r="V470" s="185" t="str">
        <f t="shared" si="116"/>
        <v>CO-DC</v>
      </c>
      <c r="W470" s="198" t="str">
        <f t="shared" si="117"/>
        <v>Distrito Capital de Bogotá</v>
      </c>
      <c r="X470" s="199" t="s">
        <v>717</v>
      </c>
      <c r="Y470" s="185">
        <v>2427400</v>
      </c>
      <c r="Z470" s="200" t="s">
        <v>718</v>
      </c>
      <c r="AA470" s="134"/>
      <c r="AB470" s="134"/>
      <c r="AC470" s="134"/>
      <c r="AD470" s="134"/>
      <c r="AE470" s="134"/>
      <c r="AF470" s="134"/>
      <c r="AG470" s="134"/>
      <c r="AH470" s="134"/>
      <c r="AI470" s="134"/>
      <c r="AJ470" s="134"/>
      <c r="AK470" s="134"/>
      <c r="AL470" s="134"/>
      <c r="AM470" s="134"/>
      <c r="AN470" s="134"/>
      <c r="AO470" s="134"/>
      <c r="AP470" s="134"/>
      <c r="AQ470" s="134"/>
      <c r="AR470" s="134"/>
      <c r="AS470" s="134"/>
      <c r="AT470" s="134"/>
      <c r="AU470" s="132"/>
      <c r="AV470" s="132"/>
      <c r="AW470" s="132"/>
      <c r="AX470" s="132"/>
      <c r="AY470" s="132"/>
      <c r="AZ470" s="132"/>
      <c r="BA470" s="132"/>
      <c r="BB470" s="132"/>
      <c r="BC470" s="132"/>
      <c r="BD470" s="132"/>
      <c r="BE470" s="132"/>
      <c r="BF470" s="132"/>
      <c r="BG470" s="132"/>
      <c r="BH470" s="132"/>
      <c r="BI470" s="132"/>
      <c r="BJ470" s="132"/>
      <c r="BK470" s="132"/>
      <c r="BL470" s="132"/>
      <c r="BM470" s="132"/>
      <c r="BN470" s="132"/>
      <c r="BO470" s="132"/>
      <c r="BP470" s="132"/>
      <c r="BQ470" s="132"/>
      <c r="BR470" s="132"/>
      <c r="BS470" s="132"/>
      <c r="BT470" s="132"/>
      <c r="BU470" s="132"/>
      <c r="BV470" s="132"/>
      <c r="BW470" s="132"/>
      <c r="BX470" s="132"/>
      <c r="BY470" s="132"/>
      <c r="BZ470" s="132"/>
      <c r="CA470" s="132"/>
      <c r="CB470" s="132"/>
      <c r="CC470" s="132"/>
      <c r="CD470" s="132"/>
      <c r="CE470" s="132"/>
      <c r="CF470" s="132"/>
      <c r="CG470" s="140"/>
    </row>
    <row r="471" spans="1:85" s="139" customFormat="1" ht="13.9" customHeight="1" x14ac:dyDescent="0.2">
      <c r="A471" s="184" t="s">
        <v>714</v>
      </c>
      <c r="B471" s="185">
        <v>67</v>
      </c>
      <c r="C471" s="186" t="s">
        <v>787</v>
      </c>
      <c r="D471" s="186" t="s">
        <v>732</v>
      </c>
      <c r="E471" s="187"/>
      <c r="F471" s="187">
        <v>90632823</v>
      </c>
      <c r="G471" s="187"/>
      <c r="H471" s="188" t="s">
        <v>792</v>
      </c>
      <c r="I471" s="189" t="s">
        <v>786</v>
      </c>
      <c r="J471" s="206">
        <v>2</v>
      </c>
      <c r="K471" s="206">
        <v>2</v>
      </c>
      <c r="L471" s="206">
        <v>10</v>
      </c>
      <c r="M471" s="185">
        <v>1</v>
      </c>
      <c r="N471" s="193" t="s">
        <v>36</v>
      </c>
      <c r="O471" s="194" t="s">
        <v>256</v>
      </c>
      <c r="P471" s="195">
        <v>10</v>
      </c>
      <c r="Q471" s="196">
        <v>90632823</v>
      </c>
      <c r="R471" s="196">
        <v>90632823</v>
      </c>
      <c r="S471" s="197" t="s">
        <v>217</v>
      </c>
      <c r="T471" s="193">
        <v>0</v>
      </c>
      <c r="U471" s="198" t="str">
        <f t="shared" si="115"/>
        <v>SUBDIRECCION DE GESTION CONTRACTUAL</v>
      </c>
      <c r="V471" s="185" t="str">
        <f t="shared" si="116"/>
        <v>CO-DC</v>
      </c>
      <c r="W471" s="198" t="str">
        <f t="shared" si="117"/>
        <v>Distrito Capital de Bogotá</v>
      </c>
      <c r="X471" s="199" t="s">
        <v>717</v>
      </c>
      <c r="Y471" s="185">
        <v>2427400</v>
      </c>
      <c r="Z471" s="200" t="s">
        <v>718</v>
      </c>
      <c r="AA471" s="134"/>
      <c r="AB471" s="134"/>
      <c r="AC471" s="134"/>
      <c r="AD471" s="134"/>
      <c r="AE471" s="134"/>
      <c r="AF471" s="134"/>
      <c r="AG471" s="134"/>
      <c r="AH471" s="134"/>
      <c r="AI471" s="134"/>
      <c r="AJ471" s="134"/>
      <c r="AK471" s="134"/>
      <c r="AL471" s="134"/>
      <c r="AM471" s="134"/>
      <c r="AN471" s="134"/>
      <c r="AO471" s="134"/>
      <c r="AP471" s="134"/>
      <c r="AQ471" s="134"/>
      <c r="AR471" s="134"/>
      <c r="AS471" s="134"/>
      <c r="AT471" s="134"/>
      <c r="AU471" s="132"/>
      <c r="AV471" s="132"/>
      <c r="AW471" s="132"/>
      <c r="AX471" s="132"/>
      <c r="AY471" s="132"/>
      <c r="AZ471" s="132"/>
      <c r="BA471" s="132"/>
      <c r="BB471" s="132"/>
      <c r="BC471" s="132"/>
      <c r="BD471" s="132"/>
      <c r="BE471" s="132"/>
      <c r="BF471" s="132"/>
      <c r="BG471" s="132"/>
      <c r="BH471" s="132"/>
      <c r="BI471" s="132"/>
      <c r="BJ471" s="132"/>
      <c r="BK471" s="132"/>
      <c r="BL471" s="132"/>
      <c r="BM471" s="132"/>
      <c r="BN471" s="132"/>
      <c r="BO471" s="132"/>
      <c r="BP471" s="132"/>
      <c r="BQ471" s="132"/>
      <c r="BR471" s="132"/>
      <c r="BS471" s="132"/>
      <c r="BT471" s="132"/>
      <c r="BU471" s="132"/>
      <c r="BV471" s="132"/>
      <c r="BW471" s="132"/>
      <c r="BX471" s="132"/>
      <c r="BY471" s="132"/>
      <c r="BZ471" s="132"/>
      <c r="CA471" s="132"/>
      <c r="CB471" s="132"/>
      <c r="CC471" s="132"/>
      <c r="CD471" s="132"/>
      <c r="CE471" s="132"/>
      <c r="CF471" s="132"/>
      <c r="CG471" s="140"/>
    </row>
    <row r="472" spans="1:85" s="139" customFormat="1" ht="13.9" customHeight="1" x14ac:dyDescent="0.2">
      <c r="A472" s="184" t="s">
        <v>714</v>
      </c>
      <c r="B472" s="185">
        <v>68</v>
      </c>
      <c r="C472" s="186" t="s">
        <v>787</v>
      </c>
      <c r="D472" s="186" t="s">
        <v>733</v>
      </c>
      <c r="E472" s="187"/>
      <c r="F472" s="187">
        <v>23487536</v>
      </c>
      <c r="G472" s="187"/>
      <c r="H472" s="188" t="s">
        <v>792</v>
      </c>
      <c r="I472" s="189" t="s">
        <v>786</v>
      </c>
      <c r="J472" s="206">
        <v>2</v>
      </c>
      <c r="K472" s="206">
        <v>2</v>
      </c>
      <c r="L472" s="206">
        <v>10</v>
      </c>
      <c r="M472" s="185">
        <v>1</v>
      </c>
      <c r="N472" s="193" t="s">
        <v>36</v>
      </c>
      <c r="O472" s="194" t="s">
        <v>256</v>
      </c>
      <c r="P472" s="195">
        <v>10</v>
      </c>
      <c r="Q472" s="196">
        <v>23487536</v>
      </c>
      <c r="R472" s="196">
        <v>23487536</v>
      </c>
      <c r="S472" s="197" t="s">
        <v>217</v>
      </c>
      <c r="T472" s="193">
        <v>0</v>
      </c>
      <c r="U472" s="198" t="str">
        <f t="shared" si="115"/>
        <v>SUBDIRECCION DE GESTION CONTRACTUAL</v>
      </c>
      <c r="V472" s="185" t="str">
        <f t="shared" si="116"/>
        <v>CO-DC</v>
      </c>
      <c r="W472" s="198" t="str">
        <f t="shared" si="117"/>
        <v>Distrito Capital de Bogotá</v>
      </c>
      <c r="X472" s="199" t="s">
        <v>717</v>
      </c>
      <c r="Y472" s="185">
        <v>2427400</v>
      </c>
      <c r="Z472" s="200" t="s">
        <v>718</v>
      </c>
      <c r="AA472" s="134"/>
      <c r="AB472" s="134"/>
      <c r="AC472" s="134"/>
      <c r="AD472" s="134"/>
      <c r="AE472" s="134"/>
      <c r="AF472" s="134"/>
      <c r="AG472" s="134"/>
      <c r="AH472" s="134"/>
      <c r="AI472" s="134"/>
      <c r="AJ472" s="134"/>
      <c r="AK472" s="134"/>
      <c r="AL472" s="134"/>
      <c r="AM472" s="134"/>
      <c r="AN472" s="134"/>
      <c r="AO472" s="134"/>
      <c r="AP472" s="134"/>
      <c r="AQ472" s="134"/>
      <c r="AR472" s="134"/>
      <c r="AS472" s="134"/>
      <c r="AT472" s="134"/>
      <c r="AU472" s="132"/>
      <c r="AV472" s="132"/>
      <c r="AW472" s="132"/>
      <c r="AX472" s="132"/>
      <c r="AY472" s="132"/>
      <c r="AZ472" s="132"/>
      <c r="BA472" s="132"/>
      <c r="BB472" s="132"/>
      <c r="BC472" s="132"/>
      <c r="BD472" s="132"/>
      <c r="BE472" s="132"/>
      <c r="BF472" s="132"/>
      <c r="BG472" s="132"/>
      <c r="BH472" s="132"/>
      <c r="BI472" s="132"/>
      <c r="BJ472" s="132"/>
      <c r="BK472" s="132"/>
      <c r="BL472" s="132"/>
      <c r="BM472" s="132"/>
      <c r="BN472" s="132"/>
      <c r="BO472" s="132"/>
      <c r="BP472" s="132"/>
      <c r="BQ472" s="132"/>
      <c r="BR472" s="132"/>
      <c r="BS472" s="132"/>
      <c r="BT472" s="132"/>
      <c r="BU472" s="132"/>
      <c r="BV472" s="132"/>
      <c r="BW472" s="132"/>
      <c r="BX472" s="132"/>
      <c r="BY472" s="132"/>
      <c r="BZ472" s="132"/>
      <c r="CA472" s="132"/>
      <c r="CB472" s="132"/>
      <c r="CC472" s="132"/>
      <c r="CD472" s="132"/>
      <c r="CE472" s="132"/>
      <c r="CF472" s="132"/>
      <c r="CG472" s="140"/>
    </row>
    <row r="473" spans="1:85" s="139" customFormat="1" ht="13.9" customHeight="1" x14ac:dyDescent="0.2">
      <c r="A473" s="184" t="s">
        <v>714</v>
      </c>
      <c r="B473" s="185">
        <v>69</v>
      </c>
      <c r="C473" s="186" t="s">
        <v>787</v>
      </c>
      <c r="D473" s="186" t="s">
        <v>734</v>
      </c>
      <c r="E473" s="187"/>
      <c r="F473" s="187">
        <v>78015269</v>
      </c>
      <c r="G473" s="187"/>
      <c r="H473" s="188" t="s">
        <v>792</v>
      </c>
      <c r="I473" s="189" t="s">
        <v>786</v>
      </c>
      <c r="J473" s="206">
        <v>2</v>
      </c>
      <c r="K473" s="206">
        <v>2</v>
      </c>
      <c r="L473" s="206">
        <v>10</v>
      </c>
      <c r="M473" s="185">
        <v>1</v>
      </c>
      <c r="N473" s="193" t="s">
        <v>36</v>
      </c>
      <c r="O473" s="194" t="s">
        <v>256</v>
      </c>
      <c r="P473" s="195">
        <v>10</v>
      </c>
      <c r="Q473" s="196">
        <v>78015269</v>
      </c>
      <c r="R473" s="196">
        <v>78015269</v>
      </c>
      <c r="S473" s="197" t="s">
        <v>217</v>
      </c>
      <c r="T473" s="193">
        <v>0</v>
      </c>
      <c r="U473" s="198" t="str">
        <f t="shared" si="115"/>
        <v>SUBDIRECCION DE GESTION CONTRACTUAL</v>
      </c>
      <c r="V473" s="185" t="str">
        <f t="shared" si="116"/>
        <v>CO-DC</v>
      </c>
      <c r="W473" s="198" t="str">
        <f t="shared" si="117"/>
        <v>Distrito Capital de Bogotá</v>
      </c>
      <c r="X473" s="199" t="s">
        <v>717</v>
      </c>
      <c r="Y473" s="185">
        <v>2427400</v>
      </c>
      <c r="Z473" s="200" t="s">
        <v>718</v>
      </c>
      <c r="AA473" s="134"/>
      <c r="AB473" s="134"/>
      <c r="AC473" s="134"/>
      <c r="AD473" s="134"/>
      <c r="AE473" s="134"/>
      <c r="AF473" s="134"/>
      <c r="AG473" s="134"/>
      <c r="AH473" s="134"/>
      <c r="AI473" s="134"/>
      <c r="AJ473" s="134"/>
      <c r="AK473" s="134"/>
      <c r="AL473" s="134"/>
      <c r="AM473" s="134"/>
      <c r="AN473" s="134"/>
      <c r="AO473" s="134"/>
      <c r="AP473" s="134"/>
      <c r="AQ473" s="134"/>
      <c r="AR473" s="134"/>
      <c r="AS473" s="134"/>
      <c r="AT473" s="134"/>
      <c r="AU473" s="132"/>
      <c r="AV473" s="132"/>
      <c r="AW473" s="132"/>
      <c r="AX473" s="132"/>
      <c r="AY473" s="132"/>
      <c r="AZ473" s="132"/>
      <c r="BA473" s="132"/>
      <c r="BB473" s="132"/>
      <c r="BC473" s="132"/>
      <c r="BD473" s="132"/>
      <c r="BE473" s="132"/>
      <c r="BF473" s="132"/>
      <c r="BG473" s="132"/>
      <c r="BH473" s="132"/>
      <c r="BI473" s="132"/>
      <c r="BJ473" s="132"/>
      <c r="BK473" s="132"/>
      <c r="BL473" s="132"/>
      <c r="BM473" s="132"/>
      <c r="BN473" s="132"/>
      <c r="BO473" s="132"/>
      <c r="BP473" s="132"/>
      <c r="BQ473" s="132"/>
      <c r="BR473" s="132"/>
      <c r="BS473" s="132"/>
      <c r="BT473" s="132"/>
      <c r="BU473" s="132"/>
      <c r="BV473" s="132"/>
      <c r="BW473" s="132"/>
      <c r="BX473" s="132"/>
      <c r="BY473" s="132"/>
      <c r="BZ473" s="132"/>
      <c r="CA473" s="132"/>
      <c r="CB473" s="132"/>
      <c r="CC473" s="132"/>
      <c r="CD473" s="132"/>
      <c r="CE473" s="132"/>
      <c r="CF473" s="132"/>
      <c r="CG473" s="140"/>
    </row>
    <row r="474" spans="1:85" s="139" customFormat="1" ht="13.9" customHeight="1" x14ac:dyDescent="0.2">
      <c r="A474" s="184" t="s">
        <v>714</v>
      </c>
      <c r="B474" s="185">
        <v>70</v>
      </c>
      <c r="C474" s="186" t="s">
        <v>787</v>
      </c>
      <c r="D474" s="186" t="s">
        <v>735</v>
      </c>
      <c r="E474" s="187"/>
      <c r="F474" s="187">
        <v>95128858</v>
      </c>
      <c r="G474" s="187"/>
      <c r="H474" s="188" t="s">
        <v>792</v>
      </c>
      <c r="I474" s="189" t="s">
        <v>786</v>
      </c>
      <c r="J474" s="206">
        <v>2</v>
      </c>
      <c r="K474" s="206">
        <v>2</v>
      </c>
      <c r="L474" s="206">
        <v>10</v>
      </c>
      <c r="M474" s="185">
        <v>1</v>
      </c>
      <c r="N474" s="193" t="s">
        <v>36</v>
      </c>
      <c r="O474" s="194" t="s">
        <v>256</v>
      </c>
      <c r="P474" s="195">
        <v>10</v>
      </c>
      <c r="Q474" s="196">
        <v>95128858</v>
      </c>
      <c r="R474" s="196">
        <v>95128858</v>
      </c>
      <c r="S474" s="197" t="s">
        <v>217</v>
      </c>
      <c r="T474" s="193">
        <v>0</v>
      </c>
      <c r="U474" s="198" t="str">
        <f t="shared" si="115"/>
        <v>SUBDIRECCION DE GESTION CONTRACTUAL</v>
      </c>
      <c r="V474" s="185" t="str">
        <f t="shared" si="116"/>
        <v>CO-DC</v>
      </c>
      <c r="W474" s="198" t="str">
        <f t="shared" si="117"/>
        <v>Distrito Capital de Bogotá</v>
      </c>
      <c r="X474" s="199" t="s">
        <v>717</v>
      </c>
      <c r="Y474" s="185">
        <v>2427400</v>
      </c>
      <c r="Z474" s="200" t="s">
        <v>718</v>
      </c>
      <c r="AA474" s="134"/>
      <c r="AB474" s="134"/>
      <c r="AC474" s="134"/>
      <c r="AD474" s="134"/>
      <c r="AE474" s="134"/>
      <c r="AF474" s="134"/>
      <c r="AG474" s="134"/>
      <c r="AH474" s="134"/>
      <c r="AI474" s="134"/>
      <c r="AJ474" s="134"/>
      <c r="AK474" s="134"/>
      <c r="AL474" s="134"/>
      <c r="AM474" s="134"/>
      <c r="AN474" s="134"/>
      <c r="AO474" s="134"/>
      <c r="AP474" s="134"/>
      <c r="AQ474" s="134"/>
      <c r="AR474" s="134"/>
      <c r="AS474" s="134"/>
      <c r="AT474" s="134"/>
      <c r="AU474" s="132"/>
      <c r="AV474" s="132"/>
      <c r="AW474" s="132"/>
      <c r="AX474" s="132"/>
      <c r="AY474" s="132"/>
      <c r="AZ474" s="132"/>
      <c r="BA474" s="132"/>
      <c r="BB474" s="132"/>
      <c r="BC474" s="132"/>
      <c r="BD474" s="132"/>
      <c r="BE474" s="132"/>
      <c r="BF474" s="132"/>
      <c r="BG474" s="132"/>
      <c r="BH474" s="132"/>
      <c r="BI474" s="132"/>
      <c r="BJ474" s="132"/>
      <c r="BK474" s="132"/>
      <c r="BL474" s="132"/>
      <c r="BM474" s="132"/>
      <c r="BN474" s="132"/>
      <c r="BO474" s="132"/>
      <c r="BP474" s="132"/>
      <c r="BQ474" s="132"/>
      <c r="BR474" s="132"/>
      <c r="BS474" s="132"/>
      <c r="BT474" s="132"/>
      <c r="BU474" s="132"/>
      <c r="BV474" s="132"/>
      <c r="BW474" s="132"/>
      <c r="BX474" s="132"/>
      <c r="BY474" s="132"/>
      <c r="BZ474" s="132"/>
      <c r="CA474" s="132"/>
      <c r="CB474" s="132"/>
      <c r="CC474" s="132"/>
      <c r="CD474" s="132"/>
      <c r="CE474" s="132"/>
      <c r="CF474" s="132"/>
      <c r="CG474" s="140"/>
    </row>
    <row r="475" spans="1:85" s="136" customFormat="1" ht="12.75" customHeight="1" x14ac:dyDescent="0.2">
      <c r="A475" s="184" t="s">
        <v>714</v>
      </c>
      <c r="B475" s="185">
        <v>71</v>
      </c>
      <c r="C475" s="186" t="s">
        <v>787</v>
      </c>
      <c r="D475" s="186" t="s">
        <v>736</v>
      </c>
      <c r="E475" s="187"/>
      <c r="F475" s="187">
        <v>35231305</v>
      </c>
      <c r="G475" s="187"/>
      <c r="H475" s="188" t="s">
        <v>792</v>
      </c>
      <c r="I475" s="189" t="s">
        <v>786</v>
      </c>
      <c r="J475" s="206">
        <v>2</v>
      </c>
      <c r="K475" s="206">
        <v>2</v>
      </c>
      <c r="L475" s="206">
        <v>10</v>
      </c>
      <c r="M475" s="185">
        <v>1</v>
      </c>
      <c r="N475" s="193" t="s">
        <v>36</v>
      </c>
      <c r="O475" s="194" t="s">
        <v>256</v>
      </c>
      <c r="P475" s="195">
        <v>10</v>
      </c>
      <c r="Q475" s="196">
        <v>35231305</v>
      </c>
      <c r="R475" s="196">
        <v>35231305</v>
      </c>
      <c r="S475" s="197" t="s">
        <v>217</v>
      </c>
      <c r="T475" s="193">
        <v>0</v>
      </c>
      <c r="U475" s="198" t="str">
        <f t="shared" si="115"/>
        <v>SUBDIRECCION DE GESTION CONTRACTUAL</v>
      </c>
      <c r="V475" s="185" t="str">
        <f t="shared" si="116"/>
        <v>CO-DC</v>
      </c>
      <c r="W475" s="198" t="str">
        <f t="shared" si="117"/>
        <v>Distrito Capital de Bogotá</v>
      </c>
      <c r="X475" s="199" t="s">
        <v>717</v>
      </c>
      <c r="Y475" s="185">
        <v>2427400</v>
      </c>
      <c r="Z475" s="200" t="s">
        <v>718</v>
      </c>
      <c r="AA475" s="134"/>
      <c r="AB475" s="134"/>
      <c r="AC475" s="134"/>
      <c r="AD475" s="134"/>
      <c r="AE475" s="134"/>
      <c r="AF475" s="134"/>
      <c r="AG475" s="134"/>
      <c r="AH475" s="134"/>
      <c r="AI475" s="134"/>
      <c r="AJ475" s="134"/>
      <c r="AK475" s="134"/>
      <c r="AL475" s="134"/>
      <c r="AM475" s="134"/>
      <c r="AN475" s="134"/>
      <c r="AO475" s="134"/>
      <c r="AP475" s="134"/>
      <c r="AQ475" s="134"/>
      <c r="AR475" s="134"/>
      <c r="AS475" s="134"/>
      <c r="AT475" s="134"/>
      <c r="AU475" s="132"/>
      <c r="AV475" s="132"/>
      <c r="AW475" s="132"/>
      <c r="AX475" s="132"/>
      <c r="AY475" s="132"/>
      <c r="AZ475" s="132"/>
      <c r="BA475" s="132"/>
      <c r="BB475" s="132"/>
      <c r="BC475" s="132"/>
      <c r="BD475" s="132"/>
      <c r="BE475" s="132"/>
      <c r="BF475" s="132"/>
      <c r="BG475" s="132"/>
      <c r="BH475" s="132"/>
      <c r="BI475" s="132"/>
      <c r="BJ475" s="132"/>
      <c r="BK475" s="132"/>
      <c r="BL475" s="132"/>
      <c r="BM475" s="132"/>
      <c r="BN475" s="132"/>
      <c r="BO475" s="132"/>
      <c r="BP475" s="132"/>
      <c r="BQ475" s="132"/>
      <c r="BR475" s="132"/>
      <c r="BS475" s="132"/>
      <c r="BT475" s="132"/>
      <c r="BU475" s="132"/>
      <c r="BV475" s="132"/>
      <c r="BW475" s="132"/>
      <c r="BX475" s="132"/>
      <c r="BY475" s="132"/>
      <c r="BZ475" s="132"/>
      <c r="CA475" s="132"/>
      <c r="CB475" s="132"/>
      <c r="CC475" s="132"/>
      <c r="CD475" s="132"/>
      <c r="CE475" s="132"/>
      <c r="CF475" s="132"/>
      <c r="CG475" s="140"/>
    </row>
    <row r="476" spans="1:85" s="7" customFormat="1" ht="12.75" customHeight="1" x14ac:dyDescent="0.2">
      <c r="A476" s="184" t="s">
        <v>714</v>
      </c>
      <c r="B476" s="185">
        <v>72</v>
      </c>
      <c r="C476" s="186" t="s">
        <v>787</v>
      </c>
      <c r="D476" s="186" t="s">
        <v>737</v>
      </c>
      <c r="E476" s="187"/>
      <c r="F476" s="187">
        <v>117022905</v>
      </c>
      <c r="G476" s="187"/>
      <c r="H476" s="188" t="s">
        <v>792</v>
      </c>
      <c r="I476" s="189" t="s">
        <v>786</v>
      </c>
      <c r="J476" s="206">
        <v>2</v>
      </c>
      <c r="K476" s="206">
        <v>2</v>
      </c>
      <c r="L476" s="206">
        <v>10</v>
      </c>
      <c r="M476" s="185">
        <v>1</v>
      </c>
      <c r="N476" s="193" t="s">
        <v>36</v>
      </c>
      <c r="O476" s="194" t="s">
        <v>256</v>
      </c>
      <c r="P476" s="195">
        <v>10</v>
      </c>
      <c r="Q476" s="196">
        <v>117022905</v>
      </c>
      <c r="R476" s="196">
        <v>117022905</v>
      </c>
      <c r="S476" s="197" t="s">
        <v>217</v>
      </c>
      <c r="T476" s="193">
        <v>0</v>
      </c>
      <c r="U476" s="198" t="str">
        <f t="shared" si="115"/>
        <v>SUBDIRECCION DE GESTION CONTRACTUAL</v>
      </c>
      <c r="V476" s="185" t="str">
        <f t="shared" si="116"/>
        <v>CO-DC</v>
      </c>
      <c r="W476" s="198" t="str">
        <f t="shared" si="117"/>
        <v>Distrito Capital de Bogotá</v>
      </c>
      <c r="X476" s="199" t="s">
        <v>717</v>
      </c>
      <c r="Y476" s="185">
        <v>2427400</v>
      </c>
      <c r="Z476" s="200" t="s">
        <v>718</v>
      </c>
    </row>
    <row r="477" spans="1:85" s="139" customFormat="1" ht="13.9" customHeight="1" x14ac:dyDescent="0.2">
      <c r="A477" s="184" t="s">
        <v>714</v>
      </c>
      <c r="B477" s="185">
        <v>73</v>
      </c>
      <c r="C477" s="186" t="s">
        <v>787</v>
      </c>
      <c r="D477" s="186" t="s">
        <v>738</v>
      </c>
      <c r="E477" s="187"/>
      <c r="F477" s="187">
        <v>142693282</v>
      </c>
      <c r="G477" s="187"/>
      <c r="H477" s="188" t="s">
        <v>792</v>
      </c>
      <c r="I477" s="189" t="s">
        <v>786</v>
      </c>
      <c r="J477" s="206">
        <v>2</v>
      </c>
      <c r="K477" s="206">
        <v>2</v>
      </c>
      <c r="L477" s="206">
        <v>10</v>
      </c>
      <c r="M477" s="185">
        <v>1</v>
      </c>
      <c r="N477" s="193" t="s">
        <v>36</v>
      </c>
      <c r="O477" s="194" t="s">
        <v>256</v>
      </c>
      <c r="P477" s="195">
        <v>10</v>
      </c>
      <c r="Q477" s="196">
        <v>142693282</v>
      </c>
      <c r="R477" s="196">
        <v>142693282</v>
      </c>
      <c r="S477" s="197" t="s">
        <v>217</v>
      </c>
      <c r="T477" s="193">
        <v>0</v>
      </c>
      <c r="U477" s="198" t="str">
        <f t="shared" si="115"/>
        <v>SUBDIRECCION DE GESTION CONTRACTUAL</v>
      </c>
      <c r="V477" s="185" t="str">
        <f t="shared" si="116"/>
        <v>CO-DC</v>
      </c>
      <c r="W477" s="198" t="str">
        <f t="shared" si="117"/>
        <v>Distrito Capital de Bogotá</v>
      </c>
      <c r="X477" s="199" t="s">
        <v>717</v>
      </c>
      <c r="Y477" s="185">
        <v>2427400</v>
      </c>
      <c r="Z477" s="200" t="s">
        <v>718</v>
      </c>
      <c r="AA477" s="134"/>
      <c r="AB477" s="134"/>
      <c r="AC477" s="134"/>
      <c r="AD477" s="134"/>
      <c r="AE477" s="134"/>
      <c r="AF477" s="134"/>
      <c r="AG477" s="134"/>
      <c r="AH477" s="134"/>
      <c r="AI477" s="134"/>
      <c r="AJ477" s="134"/>
      <c r="AK477" s="134"/>
      <c r="AL477" s="134"/>
      <c r="AM477" s="134"/>
      <c r="AN477" s="134"/>
      <c r="AO477" s="134"/>
      <c r="AP477" s="134"/>
      <c r="AQ477" s="134"/>
      <c r="AR477" s="134"/>
      <c r="AS477" s="134"/>
      <c r="AT477" s="134"/>
      <c r="AU477" s="132"/>
      <c r="AV477" s="132"/>
      <c r="AW477" s="132"/>
      <c r="AX477" s="132"/>
      <c r="AY477" s="132"/>
      <c r="AZ477" s="132"/>
      <c r="BA477" s="132"/>
      <c r="BB477" s="132"/>
      <c r="BC477" s="132"/>
      <c r="BD477" s="132"/>
      <c r="BE477" s="132"/>
      <c r="BF477" s="132"/>
      <c r="BG477" s="132"/>
      <c r="BH477" s="132"/>
      <c r="BI477" s="132"/>
      <c r="BJ477" s="132"/>
      <c r="BK477" s="132"/>
      <c r="BL477" s="132"/>
      <c r="BM477" s="132"/>
      <c r="BN477" s="132"/>
      <c r="BO477" s="132"/>
      <c r="BP477" s="132"/>
      <c r="BQ477" s="132"/>
      <c r="BR477" s="132"/>
      <c r="BS477" s="132"/>
      <c r="BT477" s="132"/>
      <c r="BU477" s="132"/>
      <c r="BV477" s="132"/>
      <c r="BW477" s="132"/>
      <c r="BX477" s="132"/>
      <c r="BY477" s="132"/>
      <c r="BZ477" s="132"/>
      <c r="CA477" s="132"/>
      <c r="CB477" s="132"/>
      <c r="CC477" s="132"/>
      <c r="CD477" s="132"/>
      <c r="CE477" s="132"/>
      <c r="CF477" s="132"/>
      <c r="CG477" s="140"/>
    </row>
    <row r="478" spans="1:85" s="7" customFormat="1" ht="12.75" customHeight="1" x14ac:dyDescent="0.2">
      <c r="A478" s="184" t="s">
        <v>714</v>
      </c>
      <c r="B478" s="185">
        <v>74</v>
      </c>
      <c r="C478" s="186" t="s">
        <v>787</v>
      </c>
      <c r="D478" s="186" t="s">
        <v>739</v>
      </c>
      <c r="E478" s="187"/>
      <c r="F478" s="187">
        <v>23487536</v>
      </c>
      <c r="G478" s="187"/>
      <c r="H478" s="188" t="s">
        <v>792</v>
      </c>
      <c r="I478" s="189" t="s">
        <v>786</v>
      </c>
      <c r="J478" s="206">
        <v>2</v>
      </c>
      <c r="K478" s="206">
        <v>2</v>
      </c>
      <c r="L478" s="206">
        <v>10</v>
      </c>
      <c r="M478" s="185">
        <v>1</v>
      </c>
      <c r="N478" s="193" t="s">
        <v>36</v>
      </c>
      <c r="O478" s="194" t="s">
        <v>256</v>
      </c>
      <c r="P478" s="195">
        <v>10</v>
      </c>
      <c r="Q478" s="196">
        <v>23487536</v>
      </c>
      <c r="R478" s="196">
        <v>23487536</v>
      </c>
      <c r="S478" s="197" t="s">
        <v>217</v>
      </c>
      <c r="T478" s="193">
        <v>0</v>
      </c>
      <c r="U478" s="198" t="str">
        <f t="shared" si="115"/>
        <v>SUBDIRECCION DE GESTION CONTRACTUAL</v>
      </c>
      <c r="V478" s="185" t="str">
        <f t="shared" si="116"/>
        <v>CO-DC</v>
      </c>
      <c r="W478" s="198" t="str">
        <f t="shared" si="117"/>
        <v>Distrito Capital de Bogotá</v>
      </c>
      <c r="X478" s="199" t="s">
        <v>717</v>
      </c>
      <c r="Y478" s="185">
        <v>2427400</v>
      </c>
      <c r="Z478" s="200" t="s">
        <v>718</v>
      </c>
    </row>
    <row r="479" spans="1:85" s="139" customFormat="1" ht="13.9" customHeight="1" x14ac:dyDescent="0.2">
      <c r="A479" s="184" t="s">
        <v>714</v>
      </c>
      <c r="B479" s="185">
        <v>75</v>
      </c>
      <c r="C479" s="186" t="s">
        <v>787</v>
      </c>
      <c r="D479" s="186" t="s">
        <v>740</v>
      </c>
      <c r="E479" s="187"/>
      <c r="F479" s="187">
        <v>78015268</v>
      </c>
      <c r="G479" s="187"/>
      <c r="H479" s="188" t="s">
        <v>792</v>
      </c>
      <c r="I479" s="189" t="s">
        <v>786</v>
      </c>
      <c r="J479" s="206">
        <v>2</v>
      </c>
      <c r="K479" s="206">
        <v>2</v>
      </c>
      <c r="L479" s="206">
        <v>10</v>
      </c>
      <c r="M479" s="185">
        <v>1</v>
      </c>
      <c r="N479" s="193" t="s">
        <v>36</v>
      </c>
      <c r="O479" s="194" t="s">
        <v>256</v>
      </c>
      <c r="P479" s="195">
        <v>10</v>
      </c>
      <c r="Q479" s="196">
        <v>78015268</v>
      </c>
      <c r="R479" s="196">
        <v>78015268</v>
      </c>
      <c r="S479" s="197" t="s">
        <v>217</v>
      </c>
      <c r="T479" s="193">
        <v>0</v>
      </c>
      <c r="U479" s="198" t="str">
        <f t="shared" si="115"/>
        <v>SUBDIRECCION DE GESTION CONTRACTUAL</v>
      </c>
      <c r="V479" s="185" t="str">
        <f t="shared" si="116"/>
        <v>CO-DC</v>
      </c>
      <c r="W479" s="198" t="str">
        <f t="shared" si="117"/>
        <v>Distrito Capital de Bogotá</v>
      </c>
      <c r="X479" s="199" t="s">
        <v>717</v>
      </c>
      <c r="Y479" s="185">
        <v>2427400</v>
      </c>
      <c r="Z479" s="200" t="s">
        <v>718</v>
      </c>
      <c r="AA479" s="134"/>
      <c r="AB479" s="134"/>
      <c r="AC479" s="134"/>
      <c r="AD479" s="134"/>
      <c r="AE479" s="134"/>
      <c r="AF479" s="134"/>
      <c r="AG479" s="134"/>
      <c r="AH479" s="134"/>
      <c r="AI479" s="134"/>
      <c r="AJ479" s="134"/>
      <c r="AK479" s="134"/>
      <c r="AL479" s="134"/>
      <c r="AM479" s="134"/>
      <c r="AN479" s="134"/>
      <c r="AO479" s="134"/>
      <c r="AP479" s="134"/>
      <c r="AQ479" s="134"/>
      <c r="AR479" s="134"/>
      <c r="AS479" s="134"/>
      <c r="AT479" s="134"/>
      <c r="AU479" s="132"/>
      <c r="AV479" s="132"/>
      <c r="AW479" s="132"/>
      <c r="AX479" s="132"/>
      <c r="AY479" s="132"/>
      <c r="AZ479" s="132"/>
      <c r="BA479" s="132"/>
      <c r="BB479" s="132"/>
      <c r="BC479" s="132"/>
      <c r="BD479" s="132"/>
      <c r="BE479" s="132"/>
      <c r="BF479" s="132"/>
      <c r="BG479" s="132"/>
      <c r="BH479" s="132"/>
      <c r="BI479" s="132"/>
      <c r="BJ479" s="132"/>
      <c r="BK479" s="132"/>
      <c r="BL479" s="132"/>
      <c r="BM479" s="132"/>
      <c r="BN479" s="132"/>
      <c r="BO479" s="132"/>
      <c r="BP479" s="132"/>
      <c r="BQ479" s="132"/>
      <c r="BR479" s="132"/>
      <c r="BS479" s="132"/>
      <c r="BT479" s="132"/>
      <c r="BU479" s="132"/>
      <c r="BV479" s="132"/>
      <c r="BW479" s="132"/>
      <c r="BX479" s="132"/>
      <c r="BY479" s="132"/>
      <c r="BZ479" s="132"/>
      <c r="CA479" s="132"/>
      <c r="CB479" s="132"/>
      <c r="CC479" s="132"/>
      <c r="CD479" s="132"/>
      <c r="CE479" s="132"/>
      <c r="CF479" s="132"/>
      <c r="CG479" s="140"/>
    </row>
    <row r="480" spans="1:85" s="139" customFormat="1" ht="13.9" customHeight="1" x14ac:dyDescent="0.2">
      <c r="A480" s="184" t="s">
        <v>714</v>
      </c>
      <c r="B480" s="185">
        <v>76</v>
      </c>
      <c r="C480" s="186" t="s">
        <v>787</v>
      </c>
      <c r="D480" s="186" t="s">
        <v>741</v>
      </c>
      <c r="E480" s="187"/>
      <c r="F480" s="187">
        <v>95128858</v>
      </c>
      <c r="G480" s="187"/>
      <c r="H480" s="188" t="s">
        <v>792</v>
      </c>
      <c r="I480" s="189" t="s">
        <v>786</v>
      </c>
      <c r="J480" s="206">
        <v>2</v>
      </c>
      <c r="K480" s="206">
        <v>2</v>
      </c>
      <c r="L480" s="206">
        <v>10</v>
      </c>
      <c r="M480" s="185">
        <v>1</v>
      </c>
      <c r="N480" s="193" t="s">
        <v>36</v>
      </c>
      <c r="O480" s="194" t="s">
        <v>256</v>
      </c>
      <c r="P480" s="195">
        <v>10</v>
      </c>
      <c r="Q480" s="196">
        <v>95128858</v>
      </c>
      <c r="R480" s="196">
        <v>95128858</v>
      </c>
      <c r="S480" s="197" t="s">
        <v>217</v>
      </c>
      <c r="T480" s="193">
        <v>0</v>
      </c>
      <c r="U480" s="198" t="str">
        <f t="shared" si="115"/>
        <v>SUBDIRECCION DE GESTION CONTRACTUAL</v>
      </c>
      <c r="V480" s="185" t="str">
        <f t="shared" si="116"/>
        <v>CO-DC</v>
      </c>
      <c r="W480" s="198" t="str">
        <f t="shared" si="117"/>
        <v>Distrito Capital de Bogotá</v>
      </c>
      <c r="X480" s="199" t="s">
        <v>717</v>
      </c>
      <c r="Y480" s="185">
        <v>2427400</v>
      </c>
      <c r="Z480" s="200" t="s">
        <v>718</v>
      </c>
      <c r="AA480" s="134"/>
      <c r="AB480" s="134"/>
      <c r="AC480" s="134"/>
      <c r="AD480" s="134"/>
      <c r="AE480" s="134"/>
      <c r="AF480" s="134"/>
      <c r="AG480" s="134"/>
      <c r="AH480" s="134"/>
      <c r="AI480" s="134"/>
      <c r="AJ480" s="134"/>
      <c r="AK480" s="134"/>
      <c r="AL480" s="134"/>
      <c r="AM480" s="134"/>
      <c r="AN480" s="134"/>
      <c r="AO480" s="134"/>
      <c r="AP480" s="134"/>
      <c r="AQ480" s="134"/>
      <c r="AR480" s="134"/>
      <c r="AS480" s="134"/>
      <c r="AT480" s="134"/>
      <c r="AU480" s="132"/>
      <c r="AV480" s="132"/>
      <c r="AW480" s="132"/>
      <c r="AX480" s="132"/>
      <c r="AY480" s="132"/>
      <c r="AZ480" s="132"/>
      <c r="BA480" s="132"/>
      <c r="BB480" s="132"/>
      <c r="BC480" s="132"/>
      <c r="BD480" s="132"/>
      <c r="BE480" s="132"/>
      <c r="BF480" s="132"/>
      <c r="BG480" s="132"/>
      <c r="BH480" s="132"/>
      <c r="BI480" s="132"/>
      <c r="BJ480" s="132"/>
      <c r="BK480" s="132"/>
      <c r="BL480" s="132"/>
      <c r="BM480" s="132"/>
      <c r="BN480" s="132"/>
      <c r="BO480" s="132"/>
      <c r="BP480" s="132"/>
      <c r="BQ480" s="132"/>
      <c r="BR480" s="132"/>
      <c r="BS480" s="132"/>
      <c r="BT480" s="132"/>
      <c r="BU480" s="132"/>
      <c r="BV480" s="132"/>
      <c r="BW480" s="132"/>
      <c r="BX480" s="132"/>
      <c r="BY480" s="132"/>
      <c r="BZ480" s="132"/>
      <c r="CA480" s="132"/>
      <c r="CB480" s="132"/>
      <c r="CC480" s="132"/>
      <c r="CD480" s="132"/>
      <c r="CE480" s="132"/>
      <c r="CF480" s="132"/>
      <c r="CG480" s="140"/>
    </row>
    <row r="481" spans="1:85" s="139" customFormat="1" ht="13.9" customHeight="1" x14ac:dyDescent="0.2">
      <c r="A481" s="184" t="s">
        <v>714</v>
      </c>
      <c r="B481" s="185">
        <v>77</v>
      </c>
      <c r="C481" s="186" t="s">
        <v>788</v>
      </c>
      <c r="D481" s="186" t="s">
        <v>715</v>
      </c>
      <c r="E481" s="187"/>
      <c r="F481" s="187">
        <v>166899670</v>
      </c>
      <c r="G481" s="187"/>
      <c r="H481" s="188" t="s">
        <v>792</v>
      </c>
      <c r="I481" s="189" t="s">
        <v>786</v>
      </c>
      <c r="J481" s="206">
        <v>2</v>
      </c>
      <c r="K481" s="206">
        <v>2</v>
      </c>
      <c r="L481" s="206">
        <v>10</v>
      </c>
      <c r="M481" s="185">
        <v>1</v>
      </c>
      <c r="N481" s="193" t="s">
        <v>36</v>
      </c>
      <c r="O481" s="194" t="s">
        <v>256</v>
      </c>
      <c r="P481" s="195">
        <v>10</v>
      </c>
      <c r="Q481" s="196">
        <v>166899670</v>
      </c>
      <c r="R481" s="196">
        <v>166899670</v>
      </c>
      <c r="S481" s="197" t="s">
        <v>217</v>
      </c>
      <c r="T481" s="193">
        <v>0</v>
      </c>
      <c r="U481" s="198" t="str">
        <f t="shared" si="115"/>
        <v>SUBDIRECCION DE GESTION CONTRACTUAL</v>
      </c>
      <c r="V481" s="185" t="str">
        <f t="shared" si="116"/>
        <v>CO-DC</v>
      </c>
      <c r="W481" s="198" t="str">
        <f t="shared" si="117"/>
        <v>Distrito Capital de Bogotá</v>
      </c>
      <c r="X481" s="199" t="s">
        <v>717</v>
      </c>
      <c r="Y481" s="185">
        <v>2427400</v>
      </c>
      <c r="Z481" s="200" t="s">
        <v>718</v>
      </c>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2"/>
      <c r="AV481" s="132"/>
      <c r="AW481" s="132"/>
      <c r="AX481" s="132"/>
      <c r="AY481" s="132"/>
      <c r="AZ481" s="132"/>
      <c r="BA481" s="132"/>
      <c r="BB481" s="132"/>
      <c r="BC481" s="132"/>
      <c r="BD481" s="132"/>
      <c r="BE481" s="132"/>
      <c r="BF481" s="132"/>
      <c r="BG481" s="132"/>
      <c r="BH481" s="132"/>
      <c r="BI481" s="132"/>
      <c r="BJ481" s="132"/>
      <c r="BK481" s="132"/>
      <c r="BL481" s="132"/>
      <c r="BM481" s="132"/>
      <c r="BN481" s="132"/>
      <c r="BO481" s="132"/>
      <c r="BP481" s="132"/>
      <c r="BQ481" s="132"/>
      <c r="BR481" s="132"/>
      <c r="BS481" s="132"/>
      <c r="BT481" s="132"/>
      <c r="BU481" s="132"/>
      <c r="BV481" s="132"/>
      <c r="BW481" s="132"/>
      <c r="BX481" s="132"/>
      <c r="BY481" s="132"/>
      <c r="BZ481" s="132"/>
      <c r="CA481" s="132"/>
      <c r="CB481" s="132"/>
      <c r="CC481" s="132"/>
      <c r="CD481" s="132"/>
      <c r="CE481" s="132"/>
      <c r="CF481" s="132"/>
      <c r="CG481" s="140"/>
    </row>
    <row r="482" spans="1:85" s="139" customFormat="1" ht="13.9" customHeight="1" x14ac:dyDescent="0.2">
      <c r="A482" s="184" t="s">
        <v>714</v>
      </c>
      <c r="B482" s="185">
        <v>78</v>
      </c>
      <c r="C482" s="186" t="s">
        <v>788</v>
      </c>
      <c r="D482" s="186" t="s">
        <v>719</v>
      </c>
      <c r="E482" s="187"/>
      <c r="F482" s="187">
        <v>40932121</v>
      </c>
      <c r="G482" s="187"/>
      <c r="H482" s="188" t="s">
        <v>792</v>
      </c>
      <c r="I482" s="189" t="s">
        <v>786</v>
      </c>
      <c r="J482" s="206">
        <v>2</v>
      </c>
      <c r="K482" s="206">
        <v>2</v>
      </c>
      <c r="L482" s="206">
        <v>10</v>
      </c>
      <c r="M482" s="185">
        <v>1</v>
      </c>
      <c r="N482" s="193" t="s">
        <v>36</v>
      </c>
      <c r="O482" s="194" t="s">
        <v>256</v>
      </c>
      <c r="P482" s="195">
        <v>10</v>
      </c>
      <c r="Q482" s="196">
        <v>40932121</v>
      </c>
      <c r="R482" s="196">
        <v>40932121</v>
      </c>
      <c r="S482" s="197" t="s">
        <v>217</v>
      </c>
      <c r="T482" s="193">
        <v>0</v>
      </c>
      <c r="U482" s="198" t="str">
        <f t="shared" si="115"/>
        <v>SUBDIRECCION DE GESTION CONTRACTUAL</v>
      </c>
      <c r="V482" s="185" t="str">
        <f t="shared" si="116"/>
        <v>CO-DC</v>
      </c>
      <c r="W482" s="198" t="str">
        <f t="shared" si="117"/>
        <v>Distrito Capital de Bogotá</v>
      </c>
      <c r="X482" s="199" t="s">
        <v>717</v>
      </c>
      <c r="Y482" s="185">
        <v>2427400</v>
      </c>
      <c r="Z482" s="200" t="s">
        <v>718</v>
      </c>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2"/>
      <c r="AV482" s="132"/>
      <c r="AW482" s="132"/>
      <c r="AX482" s="132"/>
      <c r="AY482" s="132"/>
      <c r="AZ482" s="132"/>
      <c r="BA482" s="132"/>
      <c r="BB482" s="132"/>
      <c r="BC482" s="132"/>
      <c r="BD482" s="132"/>
      <c r="BE482" s="132"/>
      <c r="BF482" s="132"/>
      <c r="BG482" s="132"/>
      <c r="BH482" s="132"/>
      <c r="BI482" s="132"/>
      <c r="BJ482" s="132"/>
      <c r="BK482" s="132"/>
      <c r="BL482" s="132"/>
      <c r="BM482" s="132"/>
      <c r="BN482" s="132"/>
      <c r="BO482" s="132"/>
      <c r="BP482" s="132"/>
      <c r="BQ482" s="132"/>
      <c r="BR482" s="132"/>
      <c r="BS482" s="132"/>
      <c r="BT482" s="132"/>
      <c r="BU482" s="132"/>
      <c r="BV482" s="132"/>
      <c r="BW482" s="132"/>
      <c r="BX482" s="132"/>
      <c r="BY482" s="132"/>
      <c r="BZ482" s="132"/>
      <c r="CA482" s="132"/>
      <c r="CB482" s="132"/>
      <c r="CC482" s="132"/>
      <c r="CD482" s="132"/>
      <c r="CE482" s="132"/>
      <c r="CF482" s="132"/>
      <c r="CG482" s="140"/>
    </row>
    <row r="483" spans="1:85" s="136" customFormat="1" ht="12.75" customHeight="1" x14ac:dyDescent="0.2">
      <c r="A483" s="184" t="s">
        <v>714</v>
      </c>
      <c r="B483" s="185">
        <v>79</v>
      </c>
      <c r="C483" s="186" t="s">
        <v>788</v>
      </c>
      <c r="D483" s="186" t="s">
        <v>720</v>
      </c>
      <c r="E483" s="187"/>
      <c r="F483" s="187">
        <v>234045809</v>
      </c>
      <c r="G483" s="187"/>
      <c r="H483" s="188" t="s">
        <v>792</v>
      </c>
      <c r="I483" s="189" t="s">
        <v>786</v>
      </c>
      <c r="J483" s="206">
        <v>2</v>
      </c>
      <c r="K483" s="206">
        <v>2</v>
      </c>
      <c r="L483" s="206">
        <v>10</v>
      </c>
      <c r="M483" s="185">
        <v>1</v>
      </c>
      <c r="N483" s="193" t="s">
        <v>36</v>
      </c>
      <c r="O483" s="194" t="s">
        <v>256</v>
      </c>
      <c r="P483" s="195">
        <v>10</v>
      </c>
      <c r="Q483" s="196">
        <v>234045809</v>
      </c>
      <c r="R483" s="196">
        <v>234045809</v>
      </c>
      <c r="S483" s="197" t="s">
        <v>217</v>
      </c>
      <c r="T483" s="193">
        <v>0</v>
      </c>
      <c r="U483" s="198" t="str">
        <f t="shared" si="115"/>
        <v>SUBDIRECCION DE GESTION CONTRACTUAL</v>
      </c>
      <c r="V483" s="185" t="str">
        <f t="shared" si="116"/>
        <v>CO-DC</v>
      </c>
      <c r="W483" s="198" t="str">
        <f t="shared" si="117"/>
        <v>Distrito Capital de Bogotá</v>
      </c>
      <c r="X483" s="199" t="s">
        <v>717</v>
      </c>
      <c r="Y483" s="185">
        <v>2427400</v>
      </c>
      <c r="Z483" s="200" t="s">
        <v>718</v>
      </c>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2"/>
      <c r="AV483" s="132"/>
      <c r="AW483" s="132"/>
      <c r="AX483" s="132"/>
      <c r="AY483" s="132"/>
      <c r="AZ483" s="132"/>
      <c r="BA483" s="132"/>
      <c r="BB483" s="132"/>
      <c r="BC483" s="132"/>
      <c r="BD483" s="132"/>
      <c r="BE483" s="132"/>
      <c r="BF483" s="132"/>
      <c r="BG483" s="132"/>
      <c r="BH483" s="132"/>
      <c r="BI483" s="132"/>
      <c r="BJ483" s="132"/>
      <c r="BK483" s="132"/>
      <c r="BL483" s="132"/>
      <c r="BM483" s="132"/>
      <c r="BN483" s="132"/>
      <c r="BO483" s="132"/>
      <c r="BP483" s="132"/>
      <c r="BQ483" s="132"/>
      <c r="BR483" s="132"/>
      <c r="BS483" s="132"/>
      <c r="BT483" s="132"/>
      <c r="BU483" s="132"/>
      <c r="BV483" s="132"/>
      <c r="BW483" s="132"/>
      <c r="BX483" s="132"/>
      <c r="BY483" s="132"/>
      <c r="BZ483" s="132"/>
      <c r="CA483" s="132"/>
      <c r="CB483" s="132"/>
      <c r="CC483" s="132"/>
      <c r="CD483" s="132"/>
      <c r="CE483" s="132"/>
      <c r="CF483" s="132"/>
      <c r="CG483" s="140"/>
    </row>
    <row r="484" spans="1:85" s="139" customFormat="1" ht="13.9" customHeight="1" x14ac:dyDescent="0.2">
      <c r="A484" s="184" t="s">
        <v>714</v>
      </c>
      <c r="B484" s="185">
        <v>80</v>
      </c>
      <c r="C484" s="186" t="s">
        <v>788</v>
      </c>
      <c r="D484" s="186" t="s">
        <v>721</v>
      </c>
      <c r="E484" s="187"/>
      <c r="F484" s="187">
        <v>156030540</v>
      </c>
      <c r="G484" s="187"/>
      <c r="H484" s="188" t="s">
        <v>792</v>
      </c>
      <c r="I484" s="189" t="s">
        <v>786</v>
      </c>
      <c r="J484" s="206">
        <v>2</v>
      </c>
      <c r="K484" s="206">
        <v>2</v>
      </c>
      <c r="L484" s="206">
        <v>10</v>
      </c>
      <c r="M484" s="185">
        <v>1</v>
      </c>
      <c r="N484" s="193" t="s">
        <v>36</v>
      </c>
      <c r="O484" s="194" t="s">
        <v>256</v>
      </c>
      <c r="P484" s="195">
        <v>10</v>
      </c>
      <c r="Q484" s="196">
        <v>156030540</v>
      </c>
      <c r="R484" s="196">
        <v>156030540</v>
      </c>
      <c r="S484" s="197" t="s">
        <v>217</v>
      </c>
      <c r="T484" s="193">
        <v>0</v>
      </c>
      <c r="U484" s="198" t="str">
        <f t="shared" si="115"/>
        <v>SUBDIRECCION DE GESTION CONTRACTUAL</v>
      </c>
      <c r="V484" s="185" t="str">
        <f t="shared" si="116"/>
        <v>CO-DC</v>
      </c>
      <c r="W484" s="198" t="str">
        <f t="shared" si="117"/>
        <v>Distrito Capital de Bogotá</v>
      </c>
      <c r="X484" s="199" t="s">
        <v>717</v>
      </c>
      <c r="Y484" s="185">
        <v>2427400</v>
      </c>
      <c r="Z484" s="200" t="s">
        <v>718</v>
      </c>
      <c r="AA484" s="134"/>
      <c r="AB484" s="134"/>
      <c r="AC484" s="134"/>
      <c r="AD484" s="134"/>
      <c r="AE484" s="134"/>
      <c r="AF484" s="134"/>
      <c r="AG484" s="134"/>
      <c r="AH484" s="134"/>
      <c r="AI484" s="134"/>
      <c r="AJ484" s="134"/>
      <c r="AK484" s="134"/>
      <c r="AL484" s="134"/>
      <c r="AM484" s="134"/>
      <c r="AN484" s="134"/>
      <c r="AO484" s="134"/>
      <c r="AP484" s="134"/>
      <c r="AQ484" s="134"/>
      <c r="AR484" s="134"/>
      <c r="AS484" s="134"/>
      <c r="AT484" s="134"/>
      <c r="AU484" s="132"/>
      <c r="AV484" s="132"/>
      <c r="AW484" s="132"/>
      <c r="AX484" s="132"/>
      <c r="AY484" s="132"/>
      <c r="AZ484" s="132"/>
      <c r="BA484" s="132"/>
      <c r="BB484" s="132"/>
      <c r="BC484" s="132"/>
      <c r="BD484" s="132"/>
      <c r="BE484" s="132"/>
      <c r="BF484" s="132"/>
      <c r="BG484" s="132"/>
      <c r="BH484" s="132"/>
      <c r="BI484" s="132"/>
      <c r="BJ484" s="132"/>
      <c r="BK484" s="132"/>
      <c r="BL484" s="132"/>
      <c r="BM484" s="132"/>
      <c r="BN484" s="132"/>
      <c r="BO484" s="132"/>
      <c r="BP484" s="132"/>
      <c r="BQ484" s="132"/>
      <c r="BR484" s="132"/>
      <c r="BS484" s="132"/>
      <c r="BT484" s="132"/>
      <c r="BU484" s="132"/>
      <c r="BV484" s="132"/>
      <c r="BW484" s="132"/>
      <c r="BX484" s="132"/>
      <c r="BY484" s="132"/>
      <c r="BZ484" s="132"/>
      <c r="CA484" s="132"/>
      <c r="CB484" s="132"/>
      <c r="CC484" s="132"/>
      <c r="CD484" s="132"/>
      <c r="CE484" s="132"/>
      <c r="CF484" s="132"/>
      <c r="CG484" s="140"/>
    </row>
    <row r="485" spans="1:85" s="139" customFormat="1" ht="13.9" customHeight="1" x14ac:dyDescent="0.2">
      <c r="A485" s="184" t="s">
        <v>714</v>
      </c>
      <c r="B485" s="185">
        <v>81</v>
      </c>
      <c r="C485" s="186" t="s">
        <v>789</v>
      </c>
      <c r="D485" s="186" t="s">
        <v>722</v>
      </c>
      <c r="E485" s="187"/>
      <c r="F485" s="187">
        <v>247561459</v>
      </c>
      <c r="G485" s="187"/>
      <c r="H485" s="188" t="s">
        <v>792</v>
      </c>
      <c r="I485" s="189" t="s">
        <v>786</v>
      </c>
      <c r="J485" s="206">
        <v>2</v>
      </c>
      <c r="K485" s="206">
        <v>2</v>
      </c>
      <c r="L485" s="206">
        <v>10</v>
      </c>
      <c r="M485" s="185">
        <v>1</v>
      </c>
      <c r="N485" s="193" t="s">
        <v>36</v>
      </c>
      <c r="O485" s="194" t="s">
        <v>256</v>
      </c>
      <c r="P485" s="195">
        <v>10</v>
      </c>
      <c r="Q485" s="196">
        <v>247561459</v>
      </c>
      <c r="R485" s="196">
        <v>247561459</v>
      </c>
      <c r="S485" s="197" t="s">
        <v>217</v>
      </c>
      <c r="T485" s="193">
        <v>0</v>
      </c>
      <c r="U485" s="198" t="str">
        <f t="shared" si="115"/>
        <v>SUBDIRECCION DE GESTION CONTRACTUAL</v>
      </c>
      <c r="V485" s="185" t="str">
        <f t="shared" si="116"/>
        <v>CO-DC</v>
      </c>
      <c r="W485" s="198" t="str">
        <f t="shared" si="117"/>
        <v>Distrito Capital de Bogotá</v>
      </c>
      <c r="X485" s="199" t="s">
        <v>717</v>
      </c>
      <c r="Y485" s="185">
        <v>2427400</v>
      </c>
      <c r="Z485" s="200" t="s">
        <v>718</v>
      </c>
      <c r="AA485" s="134"/>
      <c r="AB485" s="134"/>
      <c r="AC485" s="134"/>
      <c r="AD485" s="134"/>
      <c r="AE485" s="134"/>
      <c r="AF485" s="134"/>
      <c r="AG485" s="134"/>
      <c r="AH485" s="134"/>
      <c r="AI485" s="134"/>
      <c r="AJ485" s="134"/>
      <c r="AK485" s="134"/>
      <c r="AL485" s="134"/>
      <c r="AM485" s="134"/>
      <c r="AN485" s="134"/>
      <c r="AO485" s="134"/>
      <c r="AP485" s="134"/>
      <c r="AQ485" s="134"/>
      <c r="AR485" s="134"/>
      <c r="AS485" s="134"/>
      <c r="AT485" s="134"/>
      <c r="AU485" s="132"/>
      <c r="AV485" s="132"/>
      <c r="AW485" s="132"/>
      <c r="AX485" s="132"/>
      <c r="AY485" s="132"/>
      <c r="AZ485" s="132"/>
      <c r="BA485" s="132"/>
      <c r="BB485" s="132"/>
      <c r="BC485" s="132"/>
      <c r="BD485" s="132"/>
      <c r="BE485" s="132"/>
      <c r="BF485" s="132"/>
      <c r="BG485" s="132"/>
      <c r="BH485" s="132"/>
      <c r="BI485" s="132"/>
      <c r="BJ485" s="132"/>
      <c r="BK485" s="132"/>
      <c r="BL485" s="132"/>
      <c r="BM485" s="132"/>
      <c r="BN485" s="132"/>
      <c r="BO485" s="132"/>
      <c r="BP485" s="132"/>
      <c r="BQ485" s="132"/>
      <c r="BR485" s="132"/>
      <c r="BS485" s="132"/>
      <c r="BT485" s="132"/>
      <c r="BU485" s="132"/>
      <c r="BV485" s="132"/>
      <c r="BW485" s="132"/>
      <c r="BX485" s="132"/>
      <c r="BY485" s="132"/>
      <c r="BZ485" s="132"/>
      <c r="CA485" s="132"/>
      <c r="CB485" s="132"/>
      <c r="CC485" s="132"/>
      <c r="CD485" s="132"/>
      <c r="CE485" s="132"/>
      <c r="CF485" s="132"/>
      <c r="CG485" s="140"/>
    </row>
    <row r="486" spans="1:85" s="139" customFormat="1" ht="13.9" customHeight="1" x14ac:dyDescent="0.2">
      <c r="A486" s="184" t="s">
        <v>714</v>
      </c>
      <c r="B486" s="185">
        <v>82</v>
      </c>
      <c r="C486" s="186" t="s">
        <v>789</v>
      </c>
      <c r="D486" s="186" t="s">
        <v>723</v>
      </c>
      <c r="E486" s="187"/>
      <c r="F486" s="187">
        <v>247864739</v>
      </c>
      <c r="G486" s="187"/>
      <c r="H486" s="188" t="s">
        <v>792</v>
      </c>
      <c r="I486" s="189" t="s">
        <v>786</v>
      </c>
      <c r="J486" s="206">
        <v>2</v>
      </c>
      <c r="K486" s="206">
        <v>2</v>
      </c>
      <c r="L486" s="206">
        <v>10</v>
      </c>
      <c r="M486" s="185">
        <v>1</v>
      </c>
      <c r="N486" s="193" t="s">
        <v>36</v>
      </c>
      <c r="O486" s="194" t="s">
        <v>256</v>
      </c>
      <c r="P486" s="195">
        <v>10</v>
      </c>
      <c r="Q486" s="196">
        <v>247864739</v>
      </c>
      <c r="R486" s="196">
        <v>247864739</v>
      </c>
      <c r="S486" s="197" t="s">
        <v>217</v>
      </c>
      <c r="T486" s="193">
        <v>0</v>
      </c>
      <c r="U486" s="198" t="str">
        <f t="shared" si="115"/>
        <v>SUBDIRECCION DE GESTION CONTRACTUAL</v>
      </c>
      <c r="V486" s="185" t="str">
        <f t="shared" si="116"/>
        <v>CO-DC</v>
      </c>
      <c r="W486" s="198" t="str">
        <f t="shared" si="117"/>
        <v>Distrito Capital de Bogotá</v>
      </c>
      <c r="X486" s="199" t="s">
        <v>717</v>
      </c>
      <c r="Y486" s="185">
        <v>2427400</v>
      </c>
      <c r="Z486" s="200" t="s">
        <v>718</v>
      </c>
      <c r="AA486" s="134"/>
      <c r="AB486" s="134"/>
      <c r="AC486" s="134"/>
      <c r="AD486" s="134"/>
      <c r="AE486" s="134"/>
      <c r="AF486" s="134"/>
      <c r="AG486" s="134"/>
      <c r="AH486" s="134"/>
      <c r="AI486" s="134"/>
      <c r="AJ486" s="134"/>
      <c r="AK486" s="134"/>
      <c r="AL486" s="134"/>
      <c r="AM486" s="134"/>
      <c r="AN486" s="134"/>
      <c r="AO486" s="134"/>
      <c r="AP486" s="134"/>
      <c r="AQ486" s="134"/>
      <c r="AR486" s="134"/>
      <c r="AS486" s="134"/>
      <c r="AT486" s="134"/>
      <c r="AU486" s="132"/>
      <c r="AV486" s="132"/>
      <c r="AW486" s="132"/>
      <c r="AX486" s="132"/>
      <c r="AY486" s="132"/>
      <c r="AZ486" s="132"/>
      <c r="BA486" s="132"/>
      <c r="BB486" s="132"/>
      <c r="BC486" s="132"/>
      <c r="BD486" s="132"/>
      <c r="BE486" s="132"/>
      <c r="BF486" s="132"/>
      <c r="BG486" s="132"/>
      <c r="BH486" s="132"/>
      <c r="BI486" s="132"/>
      <c r="BJ486" s="132"/>
      <c r="BK486" s="132"/>
      <c r="BL486" s="132"/>
      <c r="BM486" s="132"/>
      <c r="BN486" s="132"/>
      <c r="BO486" s="132"/>
      <c r="BP486" s="132"/>
      <c r="BQ486" s="132"/>
      <c r="BR486" s="132"/>
      <c r="BS486" s="132"/>
      <c r="BT486" s="132"/>
      <c r="BU486" s="132"/>
      <c r="BV486" s="132"/>
      <c r="BW486" s="132"/>
      <c r="BX486" s="132"/>
      <c r="BY486" s="132"/>
      <c r="BZ486" s="132"/>
      <c r="CA486" s="132"/>
      <c r="CB486" s="132"/>
      <c r="CC486" s="132"/>
      <c r="CD486" s="132"/>
      <c r="CE486" s="132"/>
      <c r="CF486" s="132"/>
      <c r="CG486" s="140"/>
    </row>
    <row r="487" spans="1:85" s="139" customFormat="1" ht="13.9" customHeight="1" x14ac:dyDescent="0.2">
      <c r="A487" s="184" t="s">
        <v>714</v>
      </c>
      <c r="B487" s="185">
        <v>83</v>
      </c>
      <c r="C487" s="186" t="s">
        <v>789</v>
      </c>
      <c r="D487" s="186" t="s">
        <v>724</v>
      </c>
      <c r="E487" s="187"/>
      <c r="F487" s="187">
        <v>371797104</v>
      </c>
      <c r="G487" s="187"/>
      <c r="H487" s="188" t="s">
        <v>792</v>
      </c>
      <c r="I487" s="189" t="s">
        <v>786</v>
      </c>
      <c r="J487" s="206">
        <v>2</v>
      </c>
      <c r="K487" s="206">
        <v>2</v>
      </c>
      <c r="L487" s="206">
        <v>10</v>
      </c>
      <c r="M487" s="185">
        <v>1</v>
      </c>
      <c r="N487" s="193" t="s">
        <v>36</v>
      </c>
      <c r="O487" s="194" t="s">
        <v>256</v>
      </c>
      <c r="P487" s="195">
        <v>10</v>
      </c>
      <c r="Q487" s="196">
        <v>371797104</v>
      </c>
      <c r="R487" s="196">
        <v>371797104</v>
      </c>
      <c r="S487" s="197" t="s">
        <v>217</v>
      </c>
      <c r="T487" s="193">
        <v>0</v>
      </c>
      <c r="U487" s="198" t="str">
        <f t="shared" si="115"/>
        <v>SUBDIRECCION DE GESTION CONTRACTUAL</v>
      </c>
      <c r="V487" s="185" t="str">
        <f t="shared" si="116"/>
        <v>CO-DC</v>
      </c>
      <c r="W487" s="198" t="str">
        <f t="shared" si="117"/>
        <v>Distrito Capital de Bogotá</v>
      </c>
      <c r="X487" s="199" t="s">
        <v>717</v>
      </c>
      <c r="Y487" s="185">
        <v>2427400</v>
      </c>
      <c r="Z487" s="200" t="s">
        <v>718</v>
      </c>
      <c r="AA487" s="134"/>
      <c r="AB487" s="134"/>
      <c r="AC487" s="134"/>
      <c r="AD487" s="134"/>
      <c r="AE487" s="134"/>
      <c r="AF487" s="134"/>
      <c r="AG487" s="134"/>
      <c r="AH487" s="134"/>
      <c r="AI487" s="134"/>
      <c r="AJ487" s="134"/>
      <c r="AK487" s="134"/>
      <c r="AL487" s="134"/>
      <c r="AM487" s="134"/>
      <c r="AN487" s="134"/>
      <c r="AO487" s="134"/>
      <c r="AP487" s="134"/>
      <c r="AQ487" s="134"/>
      <c r="AR487" s="134"/>
      <c r="AS487" s="134"/>
      <c r="AT487" s="134"/>
      <c r="AU487" s="132"/>
      <c r="AV487" s="132"/>
      <c r="AW487" s="132"/>
      <c r="AX487" s="132"/>
      <c r="AY487" s="132"/>
      <c r="AZ487" s="132"/>
      <c r="BA487" s="132"/>
      <c r="BB487" s="132"/>
      <c r="BC487" s="132"/>
      <c r="BD487" s="132"/>
      <c r="BE487" s="132"/>
      <c r="BF487" s="132"/>
      <c r="BG487" s="132"/>
      <c r="BH487" s="132"/>
      <c r="BI487" s="132"/>
      <c r="BJ487" s="132"/>
      <c r="BK487" s="132"/>
      <c r="BL487" s="132"/>
      <c r="BM487" s="132"/>
      <c r="BN487" s="132"/>
      <c r="BO487" s="132"/>
      <c r="BP487" s="132"/>
      <c r="BQ487" s="132"/>
      <c r="BR487" s="132"/>
      <c r="BS487" s="132"/>
      <c r="BT487" s="132"/>
      <c r="BU487" s="132"/>
      <c r="BV487" s="132"/>
      <c r="BW487" s="132"/>
      <c r="BX487" s="132"/>
      <c r="BY487" s="132"/>
      <c r="BZ487" s="132"/>
      <c r="CA487" s="132"/>
      <c r="CB487" s="132"/>
      <c r="CC487" s="132"/>
      <c r="CD487" s="132"/>
      <c r="CE487" s="132"/>
      <c r="CF487" s="132"/>
      <c r="CG487" s="140"/>
    </row>
    <row r="488" spans="1:85" s="139" customFormat="1" ht="13.9" customHeight="1" x14ac:dyDescent="0.2">
      <c r="A488" s="184" t="s">
        <v>714</v>
      </c>
      <c r="B488" s="185">
        <v>84</v>
      </c>
      <c r="C488" s="186" t="s">
        <v>789</v>
      </c>
      <c r="D488" s="186" t="s">
        <v>725</v>
      </c>
      <c r="E488" s="187"/>
      <c r="F488" s="187">
        <v>247864738</v>
      </c>
      <c r="G488" s="187"/>
      <c r="H488" s="188" t="s">
        <v>792</v>
      </c>
      <c r="I488" s="189" t="s">
        <v>786</v>
      </c>
      <c r="J488" s="206">
        <v>2</v>
      </c>
      <c r="K488" s="206">
        <v>2</v>
      </c>
      <c r="L488" s="206">
        <v>10</v>
      </c>
      <c r="M488" s="185">
        <v>1</v>
      </c>
      <c r="N488" s="193" t="s">
        <v>36</v>
      </c>
      <c r="O488" s="194" t="s">
        <v>256</v>
      </c>
      <c r="P488" s="195">
        <v>10</v>
      </c>
      <c r="Q488" s="196">
        <v>247864738</v>
      </c>
      <c r="R488" s="196">
        <v>247864738</v>
      </c>
      <c r="S488" s="197" t="s">
        <v>217</v>
      </c>
      <c r="T488" s="193">
        <v>0</v>
      </c>
      <c r="U488" s="198" t="str">
        <f t="shared" si="115"/>
        <v>SUBDIRECCION DE GESTION CONTRACTUAL</v>
      </c>
      <c r="V488" s="185" t="str">
        <f t="shared" si="116"/>
        <v>CO-DC</v>
      </c>
      <c r="W488" s="198" t="str">
        <f t="shared" si="117"/>
        <v>Distrito Capital de Bogotá</v>
      </c>
      <c r="X488" s="199" t="s">
        <v>717</v>
      </c>
      <c r="Y488" s="185">
        <v>2427400</v>
      </c>
      <c r="Z488" s="200" t="s">
        <v>718</v>
      </c>
      <c r="AA488" s="134"/>
      <c r="AB488" s="134"/>
      <c r="AC488" s="134"/>
      <c r="AD488" s="134"/>
      <c r="AE488" s="134"/>
      <c r="AF488" s="134"/>
      <c r="AG488" s="134"/>
      <c r="AH488" s="134"/>
      <c r="AI488" s="134"/>
      <c r="AJ488" s="134"/>
      <c r="AK488" s="134"/>
      <c r="AL488" s="134"/>
      <c r="AM488" s="134"/>
      <c r="AN488" s="134"/>
      <c r="AO488" s="134"/>
      <c r="AP488" s="134"/>
      <c r="AQ488" s="134"/>
      <c r="AR488" s="134"/>
      <c r="AS488" s="134"/>
      <c r="AT488" s="134"/>
      <c r="AU488" s="132"/>
      <c r="AV488" s="132"/>
      <c r="AW488" s="132"/>
      <c r="AX488" s="132"/>
      <c r="AY488" s="132"/>
      <c r="AZ488" s="132"/>
      <c r="BA488" s="132"/>
      <c r="BB488" s="132"/>
      <c r="BC488" s="132"/>
      <c r="BD488" s="132"/>
      <c r="BE488" s="132"/>
      <c r="BF488" s="132"/>
      <c r="BG488" s="132"/>
      <c r="BH488" s="132"/>
      <c r="BI488" s="132"/>
      <c r="BJ488" s="132"/>
      <c r="BK488" s="132"/>
      <c r="BL488" s="132"/>
      <c r="BM488" s="132"/>
      <c r="BN488" s="132"/>
      <c r="BO488" s="132"/>
      <c r="BP488" s="132"/>
      <c r="BQ488" s="132"/>
      <c r="BR488" s="132"/>
      <c r="BS488" s="132"/>
      <c r="BT488" s="132"/>
      <c r="BU488" s="132"/>
      <c r="BV488" s="132"/>
      <c r="BW488" s="132"/>
      <c r="BX488" s="132"/>
      <c r="BY488" s="132"/>
      <c r="BZ488" s="132"/>
      <c r="CA488" s="132"/>
      <c r="CB488" s="132"/>
      <c r="CC488" s="132"/>
      <c r="CD488" s="132"/>
      <c r="CE488" s="132"/>
      <c r="CF488" s="132"/>
      <c r="CG488" s="140"/>
    </row>
    <row r="489" spans="1:85" s="136" customFormat="1" ht="12.75" customHeight="1" x14ac:dyDescent="0.2">
      <c r="A489" s="184" t="s">
        <v>714</v>
      </c>
      <c r="B489" s="185">
        <v>85</v>
      </c>
      <c r="C489" s="186" t="s">
        <v>787</v>
      </c>
      <c r="D489" s="186" t="s">
        <v>732</v>
      </c>
      <c r="E489" s="187"/>
      <c r="F489" s="187">
        <v>20000000</v>
      </c>
      <c r="G489" s="187"/>
      <c r="H489" s="188" t="s">
        <v>42</v>
      </c>
      <c r="I489" s="189" t="s">
        <v>790</v>
      </c>
      <c r="J489" s="206">
        <v>3</v>
      </c>
      <c r="K489" s="206">
        <v>4</v>
      </c>
      <c r="L489" s="206">
        <v>9</v>
      </c>
      <c r="M489" s="185">
        <v>1</v>
      </c>
      <c r="N489" s="193" t="s">
        <v>61</v>
      </c>
      <c r="O489" s="194" t="s">
        <v>902</v>
      </c>
      <c r="P489" s="195">
        <v>10</v>
      </c>
      <c r="Q489" s="196">
        <v>20000000</v>
      </c>
      <c r="R489" s="196">
        <v>20000000</v>
      </c>
      <c r="S489" s="197" t="s">
        <v>217</v>
      </c>
      <c r="T489" s="193">
        <v>0</v>
      </c>
      <c r="U489" s="198" t="str">
        <f t="shared" si="115"/>
        <v>SUBDIRECCION DE GESTION CONTRACTUAL</v>
      </c>
      <c r="V489" s="185" t="str">
        <f t="shared" si="116"/>
        <v>CO-DC</v>
      </c>
      <c r="W489" s="198" t="str">
        <f t="shared" si="117"/>
        <v>Distrito Capital de Bogotá</v>
      </c>
      <c r="X489" s="199" t="s">
        <v>717</v>
      </c>
      <c r="Y489" s="185">
        <v>2427400</v>
      </c>
      <c r="Z489" s="200" t="s">
        <v>718</v>
      </c>
      <c r="AA489" s="134"/>
      <c r="AB489" s="134"/>
      <c r="AC489" s="134"/>
      <c r="AD489" s="134"/>
      <c r="AE489" s="134"/>
      <c r="AF489" s="134"/>
      <c r="AG489" s="134"/>
      <c r="AH489" s="134"/>
      <c r="AI489" s="134"/>
      <c r="AJ489" s="134"/>
      <c r="AK489" s="134"/>
      <c r="AL489" s="134"/>
      <c r="AM489" s="134"/>
      <c r="AN489" s="134"/>
      <c r="AO489" s="134"/>
      <c r="AP489" s="134"/>
      <c r="AQ489" s="134"/>
      <c r="AR489" s="134"/>
      <c r="AS489" s="134"/>
      <c r="AT489" s="134"/>
      <c r="AU489" s="132"/>
      <c r="AV489" s="132"/>
      <c r="AW489" s="132"/>
      <c r="AX489" s="132"/>
      <c r="AY489" s="132"/>
      <c r="AZ489" s="132"/>
      <c r="BA489" s="132"/>
      <c r="BB489" s="132"/>
      <c r="BC489" s="132"/>
      <c r="BD489" s="132"/>
      <c r="BE489" s="132"/>
      <c r="BF489" s="132"/>
      <c r="BG489" s="132"/>
      <c r="BH489" s="132"/>
      <c r="BI489" s="132"/>
      <c r="BJ489" s="132"/>
      <c r="BK489" s="132"/>
      <c r="BL489" s="132"/>
      <c r="BM489" s="132"/>
      <c r="BN489" s="132"/>
      <c r="BO489" s="132"/>
      <c r="BP489" s="132"/>
      <c r="BQ489" s="132"/>
      <c r="BR489" s="132"/>
      <c r="BS489" s="132"/>
      <c r="BT489" s="132"/>
      <c r="BU489" s="132"/>
      <c r="BV489" s="132"/>
      <c r="BW489" s="132"/>
      <c r="BX489" s="132"/>
      <c r="BY489" s="132"/>
      <c r="BZ489" s="132"/>
      <c r="CA489" s="132"/>
      <c r="CB489" s="132"/>
      <c r="CC489" s="132"/>
      <c r="CD489" s="132"/>
      <c r="CE489" s="132"/>
      <c r="CF489" s="132"/>
      <c r="CG489" s="140"/>
    </row>
    <row r="490" spans="1:85" s="139" customFormat="1" ht="13.9" customHeight="1" x14ac:dyDescent="0.2">
      <c r="A490" s="184" t="s">
        <v>714</v>
      </c>
      <c r="B490" s="185">
        <v>86</v>
      </c>
      <c r="C490" s="186" t="s">
        <v>788</v>
      </c>
      <c r="D490" s="186" t="s">
        <v>715</v>
      </c>
      <c r="E490" s="187"/>
      <c r="F490" s="187">
        <v>20000000</v>
      </c>
      <c r="G490" s="187"/>
      <c r="H490" s="188" t="s">
        <v>42</v>
      </c>
      <c r="I490" s="189" t="s">
        <v>791</v>
      </c>
      <c r="J490" s="206">
        <v>3</v>
      </c>
      <c r="K490" s="206">
        <v>4</v>
      </c>
      <c r="L490" s="206">
        <v>9</v>
      </c>
      <c r="M490" s="185">
        <v>1</v>
      </c>
      <c r="N490" s="193" t="s">
        <v>61</v>
      </c>
      <c r="O490" s="194" t="s">
        <v>902</v>
      </c>
      <c r="P490" s="195">
        <v>10</v>
      </c>
      <c r="Q490" s="196">
        <v>20000000</v>
      </c>
      <c r="R490" s="196">
        <v>20000000</v>
      </c>
      <c r="S490" s="197" t="s">
        <v>217</v>
      </c>
      <c r="T490" s="193">
        <v>0</v>
      </c>
      <c r="U490" s="198" t="str">
        <f t="shared" si="115"/>
        <v>SUBDIRECCION DE GESTION CONTRACTUAL</v>
      </c>
      <c r="V490" s="185" t="str">
        <f t="shared" si="116"/>
        <v>CO-DC</v>
      </c>
      <c r="W490" s="198" t="str">
        <f t="shared" si="117"/>
        <v>Distrito Capital de Bogotá</v>
      </c>
      <c r="X490" s="199" t="s">
        <v>747</v>
      </c>
      <c r="Y490" s="185">
        <v>2427400</v>
      </c>
      <c r="Z490" s="200" t="s">
        <v>718</v>
      </c>
      <c r="AA490" s="134"/>
      <c r="AB490" s="134"/>
      <c r="AC490" s="134"/>
      <c r="AD490" s="134"/>
      <c r="AE490" s="134"/>
      <c r="AF490" s="134"/>
      <c r="AG490" s="134"/>
      <c r="AH490" s="134"/>
      <c r="AI490" s="134"/>
      <c r="AJ490" s="134"/>
      <c r="AK490" s="134"/>
      <c r="AL490" s="134"/>
      <c r="AM490" s="134"/>
      <c r="AN490" s="134"/>
      <c r="AO490" s="134"/>
      <c r="AP490" s="134"/>
      <c r="AQ490" s="134"/>
      <c r="AR490" s="134"/>
      <c r="AS490" s="134"/>
      <c r="AT490" s="134"/>
      <c r="AU490" s="132"/>
      <c r="AV490" s="132"/>
      <c r="AW490" s="132"/>
      <c r="AX490" s="132"/>
      <c r="AY490" s="132"/>
      <c r="AZ490" s="132"/>
      <c r="BA490" s="132"/>
      <c r="BB490" s="132"/>
      <c r="BC490" s="132"/>
      <c r="BD490" s="132"/>
      <c r="BE490" s="132"/>
      <c r="BF490" s="132"/>
      <c r="BG490" s="132"/>
      <c r="BH490" s="132"/>
      <c r="BI490" s="132"/>
      <c r="BJ490" s="132"/>
      <c r="BK490" s="132"/>
      <c r="BL490" s="132"/>
      <c r="BM490" s="132"/>
      <c r="BN490" s="132"/>
      <c r="BO490" s="132"/>
      <c r="BP490" s="132"/>
      <c r="BQ490" s="132"/>
      <c r="BR490" s="132"/>
      <c r="BS490" s="132"/>
      <c r="BT490" s="132"/>
      <c r="BU490" s="132"/>
      <c r="BV490" s="132"/>
      <c r="BW490" s="132"/>
      <c r="BX490" s="132"/>
      <c r="BY490" s="132"/>
      <c r="BZ490" s="132"/>
      <c r="CA490" s="132"/>
      <c r="CB490" s="132"/>
      <c r="CC490" s="132"/>
      <c r="CD490" s="132"/>
      <c r="CE490" s="132"/>
      <c r="CF490" s="132"/>
      <c r="CG490" s="140"/>
    </row>
    <row r="491" spans="1:85" s="136" customFormat="1" ht="12.75" customHeight="1" x14ac:dyDescent="0.2">
      <c r="A491" s="208" t="s">
        <v>109</v>
      </c>
      <c r="B491" s="202">
        <v>1</v>
      </c>
      <c r="C491" s="203" t="s">
        <v>473</v>
      </c>
      <c r="D491" s="209" t="s">
        <v>434</v>
      </c>
      <c r="E491" s="210"/>
      <c r="F491" s="210">
        <v>1076707446</v>
      </c>
      <c r="G491" s="210"/>
      <c r="H491" s="209">
        <v>80111600</v>
      </c>
      <c r="I491" s="203" t="s">
        <v>474</v>
      </c>
      <c r="J491" s="202">
        <v>1</v>
      </c>
      <c r="K491" s="202">
        <v>1</v>
      </c>
      <c r="L491" s="202">
        <v>12</v>
      </c>
      <c r="M491" s="185">
        <f t="shared" ref="M491:M509" si="118">IF(ISBLANK(J491),"",1)</f>
        <v>1</v>
      </c>
      <c r="N491" s="193" t="s">
        <v>210</v>
      </c>
      <c r="O491" s="194" t="s">
        <v>264</v>
      </c>
      <c r="P491" s="211">
        <f t="shared" ref="P491:P529" si="119">IF(ISBLANK(N491),"",1)</f>
        <v>1</v>
      </c>
      <c r="Q491" s="196">
        <f t="shared" ref="Q491:Q528" si="120">+E491+F491+G491</f>
        <v>1076707446</v>
      </c>
      <c r="R491" s="196">
        <f t="shared" ref="R491:R528" si="121">+F491</f>
        <v>1076707446</v>
      </c>
      <c r="S491" s="201" t="s">
        <v>217</v>
      </c>
      <c r="T491" s="211">
        <f t="shared" ref="T491:T531" si="122">IF(ISBLANK(S491),"",IF(VALUE(S491)=0,0,IF(VALUE(S491)=1,3,"")))</f>
        <v>0</v>
      </c>
      <c r="U491" s="198" t="str">
        <f t="shared" si="115"/>
        <v>SUBDIRECCION DE GESTION CONTRACTUAL</v>
      </c>
      <c r="V491" s="211" t="str">
        <f t="shared" si="116"/>
        <v>CO-DC</v>
      </c>
      <c r="W491" s="211" t="str">
        <f t="shared" si="117"/>
        <v>Distrito Capital de Bogotá</v>
      </c>
      <c r="X491" s="209" t="s">
        <v>110</v>
      </c>
      <c r="Y491" s="202">
        <v>2427400</v>
      </c>
      <c r="Z491" s="212" t="s">
        <v>111</v>
      </c>
      <c r="AA491" s="134"/>
      <c r="AB491" s="134"/>
      <c r="AC491" s="134"/>
      <c r="AD491" s="134"/>
      <c r="AE491" s="134"/>
      <c r="AF491" s="134"/>
      <c r="AG491" s="134"/>
      <c r="AH491" s="134"/>
      <c r="AI491" s="134"/>
      <c r="AJ491" s="134"/>
      <c r="AK491" s="134"/>
      <c r="AL491" s="134"/>
      <c r="AM491" s="134"/>
      <c r="AN491" s="134"/>
      <c r="AO491" s="134"/>
      <c r="AP491" s="134"/>
      <c r="AQ491" s="134"/>
      <c r="AR491" s="134"/>
      <c r="AS491" s="134"/>
      <c r="AT491" s="134"/>
      <c r="AU491" s="132"/>
      <c r="AV491" s="132"/>
      <c r="AW491" s="132"/>
      <c r="AX491" s="132"/>
      <c r="AY491" s="132"/>
      <c r="AZ491" s="132"/>
      <c r="BA491" s="132"/>
      <c r="BB491" s="132"/>
      <c r="BC491" s="132"/>
      <c r="BD491" s="132"/>
      <c r="BE491" s="132"/>
      <c r="BF491" s="132"/>
      <c r="BG491" s="132"/>
      <c r="BH491" s="132"/>
      <c r="BI491" s="132"/>
      <c r="BJ491" s="132"/>
      <c r="BK491" s="132"/>
      <c r="BL491" s="132"/>
      <c r="BM491" s="132"/>
      <c r="BN491" s="132"/>
      <c r="BO491" s="132"/>
      <c r="BP491" s="132"/>
      <c r="BQ491" s="132"/>
      <c r="BR491" s="132"/>
      <c r="BS491" s="132"/>
      <c r="BT491" s="132"/>
      <c r="BU491" s="132"/>
      <c r="BV491" s="132"/>
      <c r="BW491" s="132"/>
      <c r="BX491" s="132"/>
      <c r="BY491" s="132"/>
      <c r="BZ491" s="132"/>
      <c r="CA491" s="132"/>
      <c r="CB491" s="132"/>
      <c r="CC491" s="132"/>
      <c r="CD491" s="132"/>
      <c r="CE491" s="132"/>
      <c r="CF491" s="132"/>
      <c r="CG491" s="140"/>
    </row>
    <row r="492" spans="1:85" s="139" customFormat="1" ht="13.9" customHeight="1" x14ac:dyDescent="0.2">
      <c r="A492" s="208" t="s">
        <v>109</v>
      </c>
      <c r="B492" s="202">
        <v>2</v>
      </c>
      <c r="C492" s="203" t="s">
        <v>475</v>
      </c>
      <c r="D492" s="209" t="s">
        <v>434</v>
      </c>
      <c r="E492" s="210"/>
      <c r="F492" s="210">
        <f>78585815-78585815</f>
        <v>0</v>
      </c>
      <c r="G492" s="210"/>
      <c r="H492" s="209">
        <v>86101705</v>
      </c>
      <c r="I492" s="203" t="s">
        <v>476</v>
      </c>
      <c r="J492" s="202">
        <v>5</v>
      </c>
      <c r="K492" s="202">
        <v>5</v>
      </c>
      <c r="L492" s="202">
        <v>2</v>
      </c>
      <c r="M492" s="185">
        <f t="shared" si="118"/>
        <v>1</v>
      </c>
      <c r="N492" s="193" t="s">
        <v>296</v>
      </c>
      <c r="O492" s="194" t="s">
        <v>904</v>
      </c>
      <c r="P492" s="211">
        <f t="shared" si="119"/>
        <v>1</v>
      </c>
      <c r="Q492" s="196">
        <f t="shared" si="120"/>
        <v>0</v>
      </c>
      <c r="R492" s="196">
        <f t="shared" si="121"/>
        <v>0</v>
      </c>
      <c r="S492" s="201" t="s">
        <v>217</v>
      </c>
      <c r="T492" s="211">
        <f t="shared" si="122"/>
        <v>0</v>
      </c>
      <c r="U492" s="198" t="str">
        <f t="shared" si="115"/>
        <v>SUBDIRECCION DE GESTION CONTRACTUAL</v>
      </c>
      <c r="V492" s="211" t="str">
        <f t="shared" si="116"/>
        <v>CO-DC</v>
      </c>
      <c r="W492" s="211" t="str">
        <f t="shared" si="117"/>
        <v>Distrito Capital de Bogotá</v>
      </c>
      <c r="X492" s="209" t="s">
        <v>110</v>
      </c>
      <c r="Y492" s="202">
        <v>2427400</v>
      </c>
      <c r="Z492" s="212" t="s">
        <v>111</v>
      </c>
      <c r="AA492" s="134"/>
      <c r="AB492" s="134"/>
      <c r="AC492" s="134"/>
      <c r="AD492" s="134"/>
      <c r="AE492" s="134"/>
      <c r="AF492" s="134"/>
      <c r="AG492" s="134"/>
      <c r="AH492" s="134"/>
      <c r="AI492" s="134"/>
      <c r="AJ492" s="134"/>
      <c r="AK492" s="134"/>
      <c r="AL492" s="134"/>
      <c r="AM492" s="134"/>
      <c r="AN492" s="134"/>
      <c r="AO492" s="134"/>
      <c r="AP492" s="134"/>
      <c r="AQ492" s="134"/>
      <c r="AR492" s="134"/>
      <c r="AS492" s="134"/>
      <c r="AT492" s="134"/>
      <c r="AU492" s="132"/>
      <c r="AV492" s="132"/>
      <c r="AW492" s="132"/>
      <c r="AX492" s="132"/>
      <c r="AY492" s="132"/>
      <c r="AZ492" s="132"/>
      <c r="BA492" s="132"/>
      <c r="BB492" s="132"/>
      <c r="BC492" s="132"/>
      <c r="BD492" s="132"/>
      <c r="BE492" s="132"/>
      <c r="BF492" s="132"/>
      <c r="BG492" s="132"/>
      <c r="BH492" s="132"/>
      <c r="BI492" s="132"/>
      <c r="BJ492" s="132"/>
      <c r="BK492" s="132"/>
      <c r="BL492" s="132"/>
      <c r="BM492" s="132"/>
      <c r="BN492" s="132"/>
      <c r="BO492" s="132"/>
      <c r="BP492" s="132"/>
      <c r="BQ492" s="132"/>
      <c r="BR492" s="132"/>
      <c r="BS492" s="132"/>
      <c r="BT492" s="132"/>
      <c r="BU492" s="132"/>
      <c r="BV492" s="132"/>
      <c r="BW492" s="132"/>
      <c r="BX492" s="132"/>
      <c r="BY492" s="132"/>
      <c r="BZ492" s="132"/>
      <c r="CA492" s="132"/>
      <c r="CB492" s="132"/>
      <c r="CC492" s="132"/>
      <c r="CD492" s="132"/>
      <c r="CE492" s="132"/>
      <c r="CF492" s="132"/>
      <c r="CG492" s="140"/>
    </row>
    <row r="493" spans="1:85" s="136" customFormat="1" ht="12.75" customHeight="1" x14ac:dyDescent="0.2">
      <c r="A493" s="208" t="s">
        <v>109</v>
      </c>
      <c r="B493" s="202">
        <v>3</v>
      </c>
      <c r="C493" s="203" t="s">
        <v>477</v>
      </c>
      <c r="D493" s="209" t="s">
        <v>434</v>
      </c>
      <c r="E493" s="210"/>
      <c r="F493" s="210">
        <v>378325067</v>
      </c>
      <c r="G493" s="210"/>
      <c r="H493" s="209">
        <v>80111600</v>
      </c>
      <c r="I493" s="203" t="s">
        <v>474</v>
      </c>
      <c r="J493" s="202">
        <v>1</v>
      </c>
      <c r="K493" s="202">
        <v>1</v>
      </c>
      <c r="L493" s="202">
        <v>12</v>
      </c>
      <c r="M493" s="185">
        <f t="shared" si="118"/>
        <v>1</v>
      </c>
      <c r="N493" s="193" t="s">
        <v>210</v>
      </c>
      <c r="O493" s="194" t="s">
        <v>264</v>
      </c>
      <c r="P493" s="211">
        <f t="shared" si="119"/>
        <v>1</v>
      </c>
      <c r="Q493" s="196">
        <f t="shared" si="120"/>
        <v>378325067</v>
      </c>
      <c r="R493" s="196">
        <f t="shared" si="121"/>
        <v>378325067</v>
      </c>
      <c r="S493" s="201" t="s">
        <v>217</v>
      </c>
      <c r="T493" s="211">
        <f t="shared" si="122"/>
        <v>0</v>
      </c>
      <c r="U493" s="198" t="str">
        <f t="shared" si="115"/>
        <v>SUBDIRECCION DE GESTION CONTRACTUAL</v>
      </c>
      <c r="V493" s="211" t="str">
        <f t="shared" si="116"/>
        <v>CO-DC</v>
      </c>
      <c r="W493" s="211" t="str">
        <f t="shared" si="117"/>
        <v>Distrito Capital de Bogotá</v>
      </c>
      <c r="X493" s="209" t="s">
        <v>110</v>
      </c>
      <c r="Y493" s="202">
        <v>2427400</v>
      </c>
      <c r="Z493" s="212" t="s">
        <v>111</v>
      </c>
      <c r="AA493" s="134"/>
      <c r="AB493" s="134"/>
      <c r="AC493" s="134"/>
      <c r="AD493" s="134"/>
      <c r="AE493" s="134"/>
      <c r="AF493" s="134"/>
      <c r="AG493" s="134"/>
      <c r="AH493" s="134"/>
      <c r="AI493" s="134"/>
      <c r="AJ493" s="134"/>
      <c r="AK493" s="134"/>
      <c r="AL493" s="134"/>
      <c r="AM493" s="134"/>
      <c r="AN493" s="134"/>
      <c r="AO493" s="134"/>
      <c r="AP493" s="134"/>
      <c r="AQ493" s="134"/>
      <c r="AR493" s="134"/>
      <c r="AS493" s="134"/>
      <c r="AT493" s="134"/>
      <c r="AU493" s="132"/>
      <c r="AV493" s="132"/>
      <c r="AW493" s="132"/>
      <c r="AX493" s="132"/>
      <c r="AY493" s="132"/>
      <c r="AZ493" s="132"/>
      <c r="BA493" s="132"/>
      <c r="BB493" s="132"/>
      <c r="BC493" s="132"/>
      <c r="BD493" s="132"/>
      <c r="BE493" s="132"/>
      <c r="BF493" s="132"/>
      <c r="BG493" s="132"/>
      <c r="BH493" s="132"/>
      <c r="BI493" s="132"/>
      <c r="BJ493" s="132"/>
      <c r="BK493" s="132"/>
      <c r="BL493" s="132"/>
      <c r="BM493" s="132"/>
      <c r="BN493" s="132"/>
      <c r="BO493" s="132"/>
      <c r="BP493" s="132"/>
      <c r="BQ493" s="132"/>
      <c r="BR493" s="132"/>
      <c r="BS493" s="132"/>
      <c r="BT493" s="132"/>
      <c r="BU493" s="132"/>
      <c r="BV493" s="132"/>
      <c r="BW493" s="132"/>
      <c r="BX493" s="132"/>
      <c r="BY493" s="132"/>
      <c r="BZ493" s="132"/>
      <c r="CA493" s="132"/>
      <c r="CB493" s="132"/>
      <c r="CC493" s="132"/>
      <c r="CD493" s="132"/>
      <c r="CE493" s="132"/>
      <c r="CF493" s="132"/>
      <c r="CG493" s="140"/>
    </row>
    <row r="494" spans="1:85" s="136" customFormat="1" ht="12.75" customHeight="1" x14ac:dyDescent="0.2">
      <c r="A494" s="208" t="s">
        <v>109</v>
      </c>
      <c r="B494" s="202">
        <v>4</v>
      </c>
      <c r="C494" s="203" t="s">
        <v>112</v>
      </c>
      <c r="D494" s="209" t="s">
        <v>80</v>
      </c>
      <c r="E494" s="210"/>
      <c r="F494" s="210">
        <v>89953305</v>
      </c>
      <c r="G494" s="210"/>
      <c r="H494" s="209">
        <v>80111600</v>
      </c>
      <c r="I494" s="203" t="s">
        <v>474</v>
      </c>
      <c r="J494" s="202">
        <v>1</v>
      </c>
      <c r="K494" s="202">
        <v>1</v>
      </c>
      <c r="L494" s="202">
        <v>12</v>
      </c>
      <c r="M494" s="185">
        <f t="shared" si="118"/>
        <v>1</v>
      </c>
      <c r="N494" s="193" t="s">
        <v>210</v>
      </c>
      <c r="O494" s="194" t="s">
        <v>264</v>
      </c>
      <c r="P494" s="211">
        <f t="shared" si="119"/>
        <v>1</v>
      </c>
      <c r="Q494" s="196">
        <f t="shared" si="120"/>
        <v>89953305</v>
      </c>
      <c r="R494" s="196">
        <f t="shared" si="121"/>
        <v>89953305</v>
      </c>
      <c r="S494" s="201" t="s">
        <v>217</v>
      </c>
      <c r="T494" s="211">
        <f t="shared" si="122"/>
        <v>0</v>
      </c>
      <c r="U494" s="198" t="str">
        <f t="shared" si="115"/>
        <v>SUBDIRECCION DE GESTION CONTRACTUAL</v>
      </c>
      <c r="V494" s="211" t="str">
        <f t="shared" si="116"/>
        <v>CO-DC</v>
      </c>
      <c r="W494" s="211" t="str">
        <f t="shared" si="117"/>
        <v>Distrito Capital de Bogotá</v>
      </c>
      <c r="X494" s="209" t="s">
        <v>110</v>
      </c>
      <c r="Y494" s="202">
        <v>2427400</v>
      </c>
      <c r="Z494" s="212" t="s">
        <v>111</v>
      </c>
      <c r="AA494" s="134"/>
      <c r="AB494" s="134"/>
      <c r="AC494" s="134"/>
      <c r="AD494" s="134"/>
      <c r="AE494" s="134"/>
      <c r="AF494" s="134"/>
      <c r="AG494" s="134"/>
      <c r="AH494" s="134"/>
      <c r="AI494" s="134"/>
      <c r="AJ494" s="134"/>
      <c r="AK494" s="134"/>
      <c r="AL494" s="134"/>
      <c r="AM494" s="134"/>
      <c r="AN494" s="134"/>
      <c r="AO494" s="134"/>
      <c r="AP494" s="134"/>
      <c r="AQ494" s="134"/>
      <c r="AR494" s="134"/>
      <c r="AS494" s="134"/>
      <c r="AT494" s="134"/>
      <c r="AU494" s="132"/>
      <c r="AV494" s="132"/>
      <c r="AW494" s="132"/>
      <c r="AX494" s="132"/>
      <c r="AY494" s="132"/>
      <c r="AZ494" s="132"/>
      <c r="BA494" s="132"/>
      <c r="BB494" s="132"/>
      <c r="BC494" s="132"/>
      <c r="BD494" s="132"/>
      <c r="BE494" s="132"/>
      <c r="BF494" s="132"/>
      <c r="BG494" s="132"/>
      <c r="BH494" s="132"/>
      <c r="BI494" s="132"/>
      <c r="BJ494" s="132"/>
      <c r="BK494" s="132"/>
      <c r="BL494" s="132"/>
      <c r="BM494" s="132"/>
      <c r="BN494" s="132"/>
      <c r="BO494" s="132"/>
      <c r="BP494" s="132"/>
      <c r="BQ494" s="132"/>
      <c r="BR494" s="132"/>
      <c r="BS494" s="132"/>
      <c r="BT494" s="132"/>
      <c r="BU494" s="132"/>
      <c r="BV494" s="132"/>
      <c r="BW494" s="132"/>
      <c r="BX494" s="132"/>
      <c r="BY494" s="132"/>
      <c r="BZ494" s="132"/>
      <c r="CA494" s="132"/>
      <c r="CB494" s="132"/>
      <c r="CC494" s="132"/>
      <c r="CD494" s="132"/>
      <c r="CE494" s="132"/>
      <c r="CF494" s="132"/>
      <c r="CG494" s="140"/>
    </row>
    <row r="495" spans="1:85" s="136" customFormat="1" ht="12.75" customHeight="1" x14ac:dyDescent="0.2">
      <c r="A495" s="208" t="s">
        <v>109</v>
      </c>
      <c r="B495" s="202">
        <v>5</v>
      </c>
      <c r="C495" s="203" t="s">
        <v>478</v>
      </c>
      <c r="D495" s="209" t="s">
        <v>434</v>
      </c>
      <c r="E495" s="210"/>
      <c r="F495" s="210">
        <v>966381672</v>
      </c>
      <c r="G495" s="210"/>
      <c r="H495" s="209">
        <v>80111600</v>
      </c>
      <c r="I495" s="203" t="s">
        <v>474</v>
      </c>
      <c r="J495" s="202">
        <v>1</v>
      </c>
      <c r="K495" s="202">
        <v>1</v>
      </c>
      <c r="L495" s="202">
        <v>12</v>
      </c>
      <c r="M495" s="185">
        <f t="shared" si="118"/>
        <v>1</v>
      </c>
      <c r="N495" s="193" t="s">
        <v>210</v>
      </c>
      <c r="O495" s="194" t="s">
        <v>264</v>
      </c>
      <c r="P495" s="211">
        <f t="shared" si="119"/>
        <v>1</v>
      </c>
      <c r="Q495" s="196">
        <f t="shared" si="120"/>
        <v>966381672</v>
      </c>
      <c r="R495" s="196">
        <f t="shared" si="121"/>
        <v>966381672</v>
      </c>
      <c r="S495" s="201" t="s">
        <v>217</v>
      </c>
      <c r="T495" s="211">
        <f t="shared" si="122"/>
        <v>0</v>
      </c>
      <c r="U495" s="198" t="str">
        <f t="shared" si="115"/>
        <v>SUBDIRECCION DE GESTION CONTRACTUAL</v>
      </c>
      <c r="V495" s="211" t="str">
        <f t="shared" si="116"/>
        <v>CO-DC</v>
      </c>
      <c r="W495" s="211" t="str">
        <f t="shared" si="117"/>
        <v>Distrito Capital de Bogotá</v>
      </c>
      <c r="X495" s="209" t="s">
        <v>110</v>
      </c>
      <c r="Y495" s="202">
        <v>2427400</v>
      </c>
      <c r="Z495" s="212" t="s">
        <v>111</v>
      </c>
      <c r="AA495" s="134"/>
      <c r="AB495" s="134"/>
      <c r="AC495" s="134"/>
      <c r="AD495" s="134"/>
      <c r="AE495" s="134"/>
      <c r="AF495" s="134"/>
      <c r="AG495" s="134"/>
      <c r="AH495" s="134"/>
      <c r="AI495" s="134"/>
      <c r="AJ495" s="134"/>
      <c r="AK495" s="134"/>
      <c r="AL495" s="134"/>
      <c r="AM495" s="134"/>
      <c r="AN495" s="134"/>
      <c r="AO495" s="134"/>
      <c r="AP495" s="134"/>
      <c r="AQ495" s="134"/>
      <c r="AR495" s="134"/>
      <c r="AS495" s="134"/>
      <c r="AT495" s="134"/>
      <c r="AU495" s="132"/>
      <c r="AV495" s="132"/>
      <c r="AW495" s="132"/>
      <c r="AX495" s="132"/>
      <c r="AY495" s="132"/>
      <c r="AZ495" s="132"/>
      <c r="BA495" s="132"/>
      <c r="BB495" s="132"/>
      <c r="BC495" s="132"/>
      <c r="BD495" s="132"/>
      <c r="BE495" s="132"/>
      <c r="BF495" s="132"/>
      <c r="BG495" s="132"/>
      <c r="BH495" s="132"/>
      <c r="BI495" s="132"/>
      <c r="BJ495" s="132"/>
      <c r="BK495" s="132"/>
      <c r="BL495" s="132"/>
      <c r="BM495" s="132"/>
      <c r="BN495" s="132"/>
      <c r="BO495" s="132"/>
      <c r="BP495" s="132"/>
      <c r="BQ495" s="132"/>
      <c r="BR495" s="132"/>
      <c r="BS495" s="132"/>
      <c r="BT495" s="132"/>
      <c r="BU495" s="132"/>
      <c r="BV495" s="132"/>
      <c r="BW495" s="132"/>
      <c r="BX495" s="132"/>
      <c r="BY495" s="132"/>
      <c r="BZ495" s="132"/>
      <c r="CA495" s="132"/>
      <c r="CB495" s="132"/>
      <c r="CC495" s="132"/>
      <c r="CD495" s="132"/>
      <c r="CE495" s="132"/>
      <c r="CF495" s="132"/>
      <c r="CG495" s="140"/>
    </row>
    <row r="496" spans="1:85" s="136" customFormat="1" ht="12.75" customHeight="1" x14ac:dyDescent="0.2">
      <c r="A496" s="208" t="s">
        <v>109</v>
      </c>
      <c r="B496" s="202">
        <v>6</v>
      </c>
      <c r="C496" s="203" t="s">
        <v>479</v>
      </c>
      <c r="D496" s="209" t="s">
        <v>480</v>
      </c>
      <c r="E496" s="210"/>
      <c r="F496" s="210">
        <f>3350010673-15000000-340000000-50000000</f>
        <v>2945010673</v>
      </c>
      <c r="G496" s="210"/>
      <c r="H496" s="209">
        <v>80111600</v>
      </c>
      <c r="I496" s="203" t="s">
        <v>474</v>
      </c>
      <c r="J496" s="202">
        <v>1</v>
      </c>
      <c r="K496" s="202">
        <v>1</v>
      </c>
      <c r="L496" s="202">
        <v>12</v>
      </c>
      <c r="M496" s="185">
        <f t="shared" si="118"/>
        <v>1</v>
      </c>
      <c r="N496" s="193" t="s">
        <v>210</v>
      </c>
      <c r="O496" s="194" t="s">
        <v>264</v>
      </c>
      <c r="P496" s="211">
        <f t="shared" si="119"/>
        <v>1</v>
      </c>
      <c r="Q496" s="196">
        <f t="shared" si="120"/>
        <v>2945010673</v>
      </c>
      <c r="R496" s="196">
        <f t="shared" si="121"/>
        <v>2945010673</v>
      </c>
      <c r="S496" s="201" t="s">
        <v>217</v>
      </c>
      <c r="T496" s="211">
        <f t="shared" si="122"/>
        <v>0</v>
      </c>
      <c r="U496" s="198" t="str">
        <f t="shared" si="115"/>
        <v>SUBDIRECCION DE GESTION CONTRACTUAL</v>
      </c>
      <c r="V496" s="211" t="str">
        <f t="shared" si="116"/>
        <v>CO-DC</v>
      </c>
      <c r="W496" s="211" t="str">
        <f t="shared" si="117"/>
        <v>Distrito Capital de Bogotá</v>
      </c>
      <c r="X496" s="209" t="s">
        <v>110</v>
      </c>
      <c r="Y496" s="202">
        <v>2427400</v>
      </c>
      <c r="Z496" s="212" t="s">
        <v>111</v>
      </c>
      <c r="AA496" s="134"/>
      <c r="AB496" s="134"/>
      <c r="AC496" s="134"/>
      <c r="AD496" s="134"/>
      <c r="AE496" s="134"/>
      <c r="AF496" s="134"/>
      <c r="AG496" s="134"/>
      <c r="AH496" s="134"/>
      <c r="AI496" s="134"/>
      <c r="AJ496" s="134"/>
      <c r="AK496" s="134"/>
      <c r="AL496" s="134"/>
      <c r="AM496" s="134"/>
      <c r="AN496" s="134"/>
      <c r="AO496" s="134"/>
      <c r="AP496" s="134"/>
      <c r="AQ496" s="134"/>
      <c r="AR496" s="134"/>
      <c r="AS496" s="134"/>
      <c r="AT496" s="134"/>
      <c r="AU496" s="132"/>
      <c r="AV496" s="132"/>
      <c r="AW496" s="132"/>
      <c r="AX496" s="132"/>
      <c r="AY496" s="132"/>
      <c r="AZ496" s="132"/>
      <c r="BA496" s="132"/>
      <c r="BB496" s="132"/>
      <c r="BC496" s="132"/>
      <c r="BD496" s="132"/>
      <c r="BE496" s="132"/>
      <c r="BF496" s="132"/>
      <c r="BG496" s="132"/>
      <c r="BH496" s="132"/>
      <c r="BI496" s="132"/>
      <c r="BJ496" s="132"/>
      <c r="BK496" s="132"/>
      <c r="BL496" s="132"/>
      <c r="BM496" s="132"/>
      <c r="BN496" s="132"/>
      <c r="BO496" s="132"/>
      <c r="BP496" s="132"/>
      <c r="BQ496" s="132"/>
      <c r="BR496" s="132"/>
      <c r="BS496" s="132"/>
      <c r="BT496" s="132"/>
      <c r="BU496" s="132"/>
      <c r="BV496" s="132"/>
      <c r="BW496" s="132"/>
      <c r="BX496" s="132"/>
      <c r="BY496" s="132"/>
      <c r="BZ496" s="132"/>
      <c r="CA496" s="132"/>
      <c r="CB496" s="132"/>
      <c r="CC496" s="132"/>
      <c r="CD496" s="132"/>
      <c r="CE496" s="132"/>
      <c r="CF496" s="132"/>
      <c r="CG496" s="140"/>
    </row>
    <row r="497" spans="1:85" s="7" customFormat="1" ht="12.75" customHeight="1" x14ac:dyDescent="0.2">
      <c r="A497" s="208" t="s">
        <v>109</v>
      </c>
      <c r="B497" s="202">
        <v>7</v>
      </c>
      <c r="C497" s="203" t="s">
        <v>479</v>
      </c>
      <c r="D497" s="209" t="s">
        <v>480</v>
      </c>
      <c r="E497" s="210"/>
      <c r="F497" s="210">
        <v>100000000</v>
      </c>
      <c r="G497" s="210"/>
      <c r="H497" s="209" t="s">
        <v>1022</v>
      </c>
      <c r="I497" s="203" t="s">
        <v>1037</v>
      </c>
      <c r="J497" s="202">
        <v>8</v>
      </c>
      <c r="K497" s="202">
        <v>9</v>
      </c>
      <c r="L497" s="202">
        <v>2</v>
      </c>
      <c r="M497" s="185">
        <f t="shared" si="118"/>
        <v>1</v>
      </c>
      <c r="N497" s="193" t="s">
        <v>53</v>
      </c>
      <c r="O497" s="194" t="s">
        <v>1019</v>
      </c>
      <c r="P497" s="211">
        <f t="shared" si="119"/>
        <v>1</v>
      </c>
      <c r="Q497" s="196">
        <f t="shared" si="120"/>
        <v>100000000</v>
      </c>
      <c r="R497" s="196">
        <f t="shared" si="121"/>
        <v>100000000</v>
      </c>
      <c r="S497" s="201" t="s">
        <v>217</v>
      </c>
      <c r="T497" s="211">
        <f t="shared" si="122"/>
        <v>0</v>
      </c>
      <c r="U497" s="198" t="str">
        <f t="shared" si="115"/>
        <v>SUBDIRECCION DE GESTION CONTRACTUAL</v>
      </c>
      <c r="V497" s="211" t="str">
        <f t="shared" si="116"/>
        <v>CO-DC</v>
      </c>
      <c r="W497" s="211" t="str">
        <f t="shared" si="117"/>
        <v>Distrito Capital de Bogotá</v>
      </c>
      <c r="X497" s="209" t="s">
        <v>110</v>
      </c>
      <c r="Y497" s="202">
        <v>2427400</v>
      </c>
      <c r="Z497" s="212" t="s">
        <v>111</v>
      </c>
      <c r="AA497" s="134"/>
      <c r="AB497" s="134"/>
      <c r="AC497" s="134"/>
      <c r="AD497" s="134"/>
      <c r="AE497" s="134"/>
      <c r="AF497" s="134"/>
      <c r="AG497" s="134"/>
      <c r="AH497" s="134"/>
      <c r="AI497" s="134"/>
      <c r="AJ497" s="134"/>
      <c r="AK497" s="134"/>
      <c r="AL497" s="134"/>
      <c r="AM497" s="134"/>
      <c r="AN497" s="134"/>
      <c r="AO497" s="134"/>
      <c r="AP497" s="134"/>
      <c r="AQ497" s="134"/>
      <c r="AR497" s="134"/>
      <c r="AS497" s="134"/>
      <c r="AT497" s="134"/>
      <c r="AU497" s="132"/>
      <c r="AV497" s="132"/>
      <c r="AW497" s="132"/>
      <c r="AX497" s="132"/>
      <c r="AY497" s="132"/>
      <c r="AZ497" s="132"/>
      <c r="BA497" s="132"/>
      <c r="BB497" s="132"/>
      <c r="BC497" s="132"/>
      <c r="BD497" s="132"/>
      <c r="BE497" s="132"/>
      <c r="BF497" s="132"/>
      <c r="BG497" s="132"/>
      <c r="BH497" s="132"/>
      <c r="BI497" s="132"/>
      <c r="BJ497" s="132"/>
      <c r="BK497" s="132"/>
      <c r="BL497" s="132"/>
      <c r="BM497" s="132"/>
      <c r="BN497" s="132"/>
      <c r="BO497" s="132"/>
      <c r="BP497" s="132"/>
      <c r="BQ497" s="132"/>
      <c r="BR497" s="132"/>
      <c r="BS497" s="132"/>
      <c r="BT497" s="132"/>
      <c r="BU497" s="132"/>
      <c r="BV497" s="132"/>
      <c r="BW497" s="132"/>
      <c r="BX497" s="132"/>
      <c r="BY497" s="132"/>
      <c r="BZ497" s="132"/>
      <c r="CA497" s="132"/>
      <c r="CB497" s="132"/>
      <c r="CC497" s="132"/>
      <c r="CD497" s="132"/>
      <c r="CE497" s="132"/>
      <c r="CF497" s="132"/>
      <c r="CG497" s="132"/>
    </row>
    <row r="498" spans="1:85" s="136" customFormat="1" ht="12.75" customHeight="1" x14ac:dyDescent="0.2">
      <c r="A498" s="208" t="s">
        <v>109</v>
      </c>
      <c r="B498" s="202">
        <v>8</v>
      </c>
      <c r="C498" s="203" t="s">
        <v>479</v>
      </c>
      <c r="D498" s="209" t="s">
        <v>480</v>
      </c>
      <c r="E498" s="210"/>
      <c r="F498" s="210">
        <v>49989327</v>
      </c>
      <c r="G498" s="210"/>
      <c r="H498" s="209" t="s">
        <v>697</v>
      </c>
      <c r="I498" s="203" t="s">
        <v>481</v>
      </c>
      <c r="J498" s="202">
        <v>3</v>
      </c>
      <c r="K498" s="202">
        <v>3</v>
      </c>
      <c r="L498" s="202">
        <v>3</v>
      </c>
      <c r="M498" s="185">
        <f t="shared" si="118"/>
        <v>1</v>
      </c>
      <c r="N498" s="193" t="s">
        <v>48</v>
      </c>
      <c r="O498" s="194" t="s">
        <v>49</v>
      </c>
      <c r="P498" s="211">
        <f t="shared" si="119"/>
        <v>1</v>
      </c>
      <c r="Q498" s="196">
        <f t="shared" si="120"/>
        <v>49989327</v>
      </c>
      <c r="R498" s="196">
        <f t="shared" si="121"/>
        <v>49989327</v>
      </c>
      <c r="S498" s="201" t="s">
        <v>217</v>
      </c>
      <c r="T498" s="211">
        <f t="shared" si="122"/>
        <v>0</v>
      </c>
      <c r="U498" s="198" t="str">
        <f t="shared" si="115"/>
        <v>SUBDIRECCION DE GESTION CONTRACTUAL</v>
      </c>
      <c r="V498" s="211" t="str">
        <f t="shared" si="116"/>
        <v>CO-DC</v>
      </c>
      <c r="W498" s="211" t="str">
        <f t="shared" si="117"/>
        <v>Distrito Capital de Bogotá</v>
      </c>
      <c r="X498" s="209" t="s">
        <v>110</v>
      </c>
      <c r="Y498" s="202">
        <v>2427400</v>
      </c>
      <c r="Z498" s="212" t="s">
        <v>111</v>
      </c>
      <c r="AA498" s="134"/>
      <c r="AB498" s="134"/>
      <c r="AC498" s="134"/>
      <c r="AD498" s="134"/>
      <c r="AE498" s="134"/>
      <c r="AF498" s="134"/>
      <c r="AG498" s="134"/>
      <c r="AH498" s="134"/>
      <c r="AI498" s="134"/>
      <c r="AJ498" s="134"/>
      <c r="AK498" s="134"/>
      <c r="AL498" s="134"/>
      <c r="AM498" s="134"/>
      <c r="AN498" s="134"/>
      <c r="AO498" s="134"/>
      <c r="AP498" s="134"/>
      <c r="AQ498" s="134"/>
      <c r="AR498" s="134"/>
      <c r="AS498" s="134"/>
      <c r="AT498" s="134"/>
      <c r="AU498" s="132"/>
      <c r="AV498" s="132"/>
      <c r="AW498" s="132"/>
      <c r="AX498" s="132"/>
      <c r="AY498" s="132"/>
      <c r="AZ498" s="132"/>
      <c r="BA498" s="132"/>
      <c r="BB498" s="132"/>
      <c r="BC498" s="132"/>
      <c r="BD498" s="132"/>
      <c r="BE498" s="132"/>
      <c r="BF498" s="132"/>
      <c r="BG498" s="132"/>
      <c r="BH498" s="132"/>
      <c r="BI498" s="132"/>
      <c r="BJ498" s="132"/>
      <c r="BK498" s="132"/>
      <c r="BL498" s="132"/>
      <c r="BM498" s="132"/>
      <c r="BN498" s="132"/>
      <c r="BO498" s="132"/>
      <c r="BP498" s="132"/>
      <c r="BQ498" s="132"/>
      <c r="BR498" s="132"/>
      <c r="BS498" s="132"/>
      <c r="BT498" s="132"/>
      <c r="BU498" s="132"/>
      <c r="BV498" s="132"/>
      <c r="BW498" s="132"/>
      <c r="BX498" s="132"/>
      <c r="BY498" s="132"/>
      <c r="BZ498" s="132"/>
      <c r="CA498" s="132"/>
      <c r="CB498" s="132"/>
      <c r="CC498" s="132"/>
      <c r="CD498" s="132"/>
      <c r="CE498" s="132"/>
      <c r="CF498" s="132"/>
      <c r="CG498" s="140"/>
    </row>
    <row r="499" spans="1:85" s="136" customFormat="1" ht="12.75" customHeight="1" x14ac:dyDescent="0.2">
      <c r="A499" s="208" t="s">
        <v>109</v>
      </c>
      <c r="B499" s="202">
        <v>9</v>
      </c>
      <c r="C499" s="203" t="s">
        <v>479</v>
      </c>
      <c r="D499" s="209" t="s">
        <v>480</v>
      </c>
      <c r="E499" s="210"/>
      <c r="F499" s="210">
        <v>15000000</v>
      </c>
      <c r="G499" s="210"/>
      <c r="H499" s="188" t="s">
        <v>51</v>
      </c>
      <c r="I499" s="203" t="s">
        <v>482</v>
      </c>
      <c r="J499" s="190">
        <v>4</v>
      </c>
      <c r="K499" s="191">
        <v>6</v>
      </c>
      <c r="L499" s="192">
        <v>1</v>
      </c>
      <c r="M499" s="185">
        <f t="shared" si="118"/>
        <v>1</v>
      </c>
      <c r="N499" s="193" t="s">
        <v>43</v>
      </c>
      <c r="O499" s="194" t="s">
        <v>44</v>
      </c>
      <c r="P499" s="211">
        <f t="shared" si="119"/>
        <v>1</v>
      </c>
      <c r="Q499" s="196">
        <f t="shared" si="120"/>
        <v>15000000</v>
      </c>
      <c r="R499" s="196">
        <f t="shared" si="121"/>
        <v>15000000</v>
      </c>
      <c r="S499" s="201" t="s">
        <v>217</v>
      </c>
      <c r="T499" s="211">
        <f t="shared" si="122"/>
        <v>0</v>
      </c>
      <c r="U499" s="198" t="str">
        <f t="shared" si="115"/>
        <v>SUBDIRECCION DE GESTION CONTRACTUAL</v>
      </c>
      <c r="V499" s="185" t="str">
        <f t="shared" si="116"/>
        <v>CO-DC</v>
      </c>
      <c r="W499" s="198" t="str">
        <f t="shared" si="117"/>
        <v>Distrito Capital de Bogotá</v>
      </c>
      <c r="X499" s="199" t="s">
        <v>73</v>
      </c>
      <c r="Y499" s="185">
        <v>2427400</v>
      </c>
      <c r="Z499" s="200" t="s">
        <v>74</v>
      </c>
      <c r="AA499" s="134"/>
      <c r="AB499" s="134"/>
      <c r="AC499" s="134"/>
      <c r="AD499" s="134"/>
      <c r="AE499" s="134"/>
      <c r="AF499" s="134"/>
      <c r="AG499" s="134"/>
      <c r="AH499" s="134"/>
      <c r="AI499" s="134"/>
      <c r="AJ499" s="134"/>
      <c r="AK499" s="134"/>
      <c r="AL499" s="134"/>
      <c r="AM499" s="134"/>
      <c r="AN499" s="134"/>
      <c r="AO499" s="134"/>
      <c r="AP499" s="134"/>
      <c r="AQ499" s="134"/>
      <c r="AR499" s="134"/>
      <c r="AS499" s="134"/>
      <c r="AT499" s="134"/>
      <c r="AU499" s="132"/>
      <c r="AV499" s="132"/>
      <c r="AW499" s="132"/>
      <c r="AX499" s="132"/>
      <c r="AY499" s="132"/>
      <c r="AZ499" s="132"/>
      <c r="BA499" s="132"/>
      <c r="BB499" s="132"/>
      <c r="BC499" s="132"/>
      <c r="BD499" s="132"/>
      <c r="BE499" s="132"/>
      <c r="BF499" s="132"/>
      <c r="BG499" s="132"/>
      <c r="BH499" s="132"/>
      <c r="BI499" s="132"/>
      <c r="BJ499" s="132"/>
      <c r="BK499" s="132"/>
      <c r="BL499" s="132"/>
      <c r="BM499" s="132"/>
      <c r="BN499" s="132"/>
      <c r="BO499" s="132"/>
      <c r="BP499" s="132"/>
      <c r="BQ499" s="132"/>
      <c r="BR499" s="132"/>
      <c r="BS499" s="132"/>
      <c r="BT499" s="132"/>
      <c r="BU499" s="132"/>
      <c r="BV499" s="132"/>
      <c r="BW499" s="132"/>
      <c r="BX499" s="132"/>
      <c r="BY499" s="132"/>
      <c r="BZ499" s="132"/>
      <c r="CA499" s="132"/>
      <c r="CB499" s="132"/>
      <c r="CC499" s="132"/>
      <c r="CD499" s="132"/>
      <c r="CE499" s="132"/>
      <c r="CF499" s="132"/>
      <c r="CG499" s="140"/>
    </row>
    <row r="500" spans="1:85" s="139" customFormat="1" ht="13.9" customHeight="1" x14ac:dyDescent="0.2">
      <c r="A500" s="208" t="s">
        <v>109</v>
      </c>
      <c r="B500" s="202">
        <v>10</v>
      </c>
      <c r="C500" s="203" t="s">
        <v>479</v>
      </c>
      <c r="D500" s="209" t="s">
        <v>480</v>
      </c>
      <c r="E500" s="210"/>
      <c r="F500" s="210">
        <v>50000000</v>
      </c>
      <c r="G500" s="210"/>
      <c r="H500" s="188" t="s">
        <v>710</v>
      </c>
      <c r="I500" s="203" t="s">
        <v>483</v>
      </c>
      <c r="J500" s="206">
        <v>2</v>
      </c>
      <c r="K500" s="206">
        <v>3</v>
      </c>
      <c r="L500" s="206">
        <v>9</v>
      </c>
      <c r="M500" s="185">
        <f t="shared" si="118"/>
        <v>1</v>
      </c>
      <c r="N500" s="193" t="s">
        <v>221</v>
      </c>
      <c r="O500" s="194" t="s">
        <v>903</v>
      </c>
      <c r="P500" s="211">
        <f t="shared" si="119"/>
        <v>1</v>
      </c>
      <c r="Q500" s="196">
        <f t="shared" si="120"/>
        <v>50000000</v>
      </c>
      <c r="R500" s="196">
        <f t="shared" si="121"/>
        <v>50000000</v>
      </c>
      <c r="S500" s="201" t="s">
        <v>217</v>
      </c>
      <c r="T500" s="211">
        <f t="shared" si="122"/>
        <v>0</v>
      </c>
      <c r="U500" s="198" t="str">
        <f t="shared" si="115"/>
        <v>SUBDIRECCION DE GESTION CONTRACTUAL</v>
      </c>
      <c r="V500" s="211" t="str">
        <f t="shared" si="116"/>
        <v>CO-DC</v>
      </c>
      <c r="W500" s="272" t="str">
        <f t="shared" si="117"/>
        <v>Distrito Capital de Bogotá</v>
      </c>
      <c r="X500" s="209" t="s">
        <v>110</v>
      </c>
      <c r="Y500" s="202">
        <v>2427400</v>
      </c>
      <c r="Z500" s="212" t="s">
        <v>111</v>
      </c>
      <c r="AA500" s="134"/>
      <c r="AB500" s="134"/>
      <c r="AC500" s="134"/>
      <c r="AD500" s="134"/>
      <c r="AE500" s="134"/>
      <c r="AF500" s="134"/>
      <c r="AG500" s="134"/>
      <c r="AH500" s="134"/>
      <c r="AI500" s="134"/>
      <c r="AJ500" s="134"/>
      <c r="AK500" s="134"/>
      <c r="AL500" s="134"/>
      <c r="AM500" s="134"/>
      <c r="AN500" s="134"/>
      <c r="AO500" s="134"/>
      <c r="AP500" s="134"/>
      <c r="AQ500" s="134"/>
      <c r="AR500" s="134"/>
      <c r="AS500" s="134"/>
      <c r="AT500" s="134"/>
      <c r="AU500" s="132"/>
      <c r="AV500" s="132"/>
      <c r="AW500" s="132"/>
      <c r="AX500" s="132"/>
      <c r="AY500" s="132"/>
      <c r="AZ500" s="132"/>
      <c r="BA500" s="132"/>
      <c r="BB500" s="132"/>
      <c r="BC500" s="132"/>
      <c r="BD500" s="132"/>
      <c r="BE500" s="132"/>
      <c r="BF500" s="132"/>
      <c r="BG500" s="132"/>
      <c r="BH500" s="132"/>
      <c r="BI500" s="132"/>
      <c r="BJ500" s="132"/>
      <c r="BK500" s="132"/>
      <c r="BL500" s="132"/>
      <c r="BM500" s="132"/>
      <c r="BN500" s="132"/>
      <c r="BO500" s="132"/>
      <c r="BP500" s="132"/>
      <c r="BQ500" s="132"/>
      <c r="BR500" s="132"/>
      <c r="BS500" s="132"/>
      <c r="BT500" s="132"/>
      <c r="BU500" s="132"/>
      <c r="BV500" s="132"/>
      <c r="BW500" s="132"/>
      <c r="BX500" s="132"/>
      <c r="BY500" s="132"/>
      <c r="BZ500" s="132"/>
      <c r="CA500" s="132"/>
      <c r="CB500" s="132"/>
      <c r="CC500" s="132"/>
      <c r="CD500" s="132"/>
      <c r="CE500" s="132"/>
      <c r="CF500" s="132"/>
      <c r="CG500" s="140"/>
    </row>
    <row r="501" spans="1:85" s="139" customFormat="1" ht="13.9" customHeight="1" x14ac:dyDescent="0.25">
      <c r="A501" s="184" t="s">
        <v>109</v>
      </c>
      <c r="B501" s="185">
        <v>11</v>
      </c>
      <c r="C501" s="186" t="s">
        <v>479</v>
      </c>
      <c r="D501" s="186" t="s">
        <v>480</v>
      </c>
      <c r="E501" s="187"/>
      <c r="F501" s="187">
        <v>50000000</v>
      </c>
      <c r="G501" s="187"/>
      <c r="H501" s="188" t="s">
        <v>225</v>
      </c>
      <c r="I501" s="189" t="s">
        <v>484</v>
      </c>
      <c r="J501" s="206">
        <v>7</v>
      </c>
      <c r="K501" s="206">
        <v>9</v>
      </c>
      <c r="L501" s="206">
        <v>3</v>
      </c>
      <c r="M501" s="185">
        <f t="shared" si="118"/>
        <v>1</v>
      </c>
      <c r="N501" s="193" t="s">
        <v>61</v>
      </c>
      <c r="O501" s="194" t="s">
        <v>902</v>
      </c>
      <c r="P501" s="195">
        <f t="shared" si="119"/>
        <v>1</v>
      </c>
      <c r="Q501" s="196">
        <f t="shared" si="120"/>
        <v>50000000</v>
      </c>
      <c r="R501" s="196">
        <f t="shared" si="121"/>
        <v>50000000</v>
      </c>
      <c r="S501" s="197" t="s">
        <v>217</v>
      </c>
      <c r="T501" s="193">
        <f t="shared" si="122"/>
        <v>0</v>
      </c>
      <c r="U501" s="198" t="str">
        <f t="shared" si="115"/>
        <v>SUBDIRECCION DE GESTION CONTRACTUAL</v>
      </c>
      <c r="V501" s="185" t="str">
        <f t="shared" si="116"/>
        <v>CO-DC</v>
      </c>
      <c r="W501" s="198" t="str">
        <f t="shared" si="117"/>
        <v>Distrito Capital de Bogotá</v>
      </c>
      <c r="X501" s="207" t="s">
        <v>897</v>
      </c>
      <c r="Y501" s="185">
        <v>2427400</v>
      </c>
      <c r="Z501" s="126" t="s">
        <v>885</v>
      </c>
      <c r="AA501" s="134"/>
      <c r="AB501" s="134"/>
      <c r="AC501" s="134"/>
      <c r="AD501" s="134"/>
      <c r="AE501" s="134"/>
      <c r="AF501" s="134"/>
      <c r="AG501" s="134"/>
      <c r="AH501" s="134"/>
      <c r="AI501" s="134"/>
      <c r="AJ501" s="134"/>
      <c r="AK501" s="134"/>
      <c r="AL501" s="134"/>
      <c r="AM501" s="134"/>
      <c r="AN501" s="134"/>
      <c r="AO501" s="134"/>
      <c r="AP501" s="134"/>
      <c r="AQ501" s="134"/>
      <c r="AR501" s="134"/>
      <c r="AS501" s="134"/>
      <c r="AT501" s="134"/>
      <c r="AU501" s="132"/>
      <c r="AV501" s="132"/>
      <c r="AW501" s="132"/>
      <c r="AX501" s="132"/>
      <c r="AY501" s="132"/>
      <c r="AZ501" s="132"/>
      <c r="BA501" s="132"/>
      <c r="BB501" s="132"/>
      <c r="BC501" s="132"/>
      <c r="BD501" s="132"/>
      <c r="BE501" s="132"/>
      <c r="BF501" s="132"/>
      <c r="BG501" s="132"/>
      <c r="BH501" s="132"/>
      <c r="BI501" s="132"/>
      <c r="BJ501" s="132"/>
      <c r="BK501" s="132"/>
      <c r="BL501" s="132"/>
      <c r="BM501" s="132"/>
      <c r="BN501" s="132"/>
      <c r="BO501" s="132"/>
      <c r="BP501" s="132"/>
      <c r="BQ501" s="132"/>
      <c r="BR501" s="132"/>
      <c r="BS501" s="132"/>
      <c r="BT501" s="132"/>
      <c r="BU501" s="132"/>
      <c r="BV501" s="132"/>
      <c r="BW501" s="132"/>
      <c r="BX501" s="132"/>
      <c r="BY501" s="132"/>
      <c r="BZ501" s="132"/>
      <c r="CA501" s="132"/>
      <c r="CB501" s="132"/>
      <c r="CC501" s="132"/>
      <c r="CD501" s="132"/>
      <c r="CE501" s="132"/>
      <c r="CF501" s="132"/>
      <c r="CG501" s="140"/>
    </row>
    <row r="502" spans="1:85" s="139" customFormat="1" ht="13.9" customHeight="1" x14ac:dyDescent="0.2">
      <c r="A502" s="208" t="s">
        <v>109</v>
      </c>
      <c r="B502" s="202">
        <v>12</v>
      </c>
      <c r="C502" s="203" t="s">
        <v>479</v>
      </c>
      <c r="D502" s="209" t="s">
        <v>480</v>
      </c>
      <c r="E502" s="210"/>
      <c r="F502" s="210">
        <v>290000000</v>
      </c>
      <c r="G502" s="210"/>
      <c r="H502" s="188" t="s">
        <v>710</v>
      </c>
      <c r="I502" s="203" t="s">
        <v>483</v>
      </c>
      <c r="J502" s="190">
        <v>2</v>
      </c>
      <c r="K502" s="191">
        <v>3</v>
      </c>
      <c r="L502" s="192">
        <v>9</v>
      </c>
      <c r="M502" s="185">
        <f t="shared" si="118"/>
        <v>1</v>
      </c>
      <c r="N502" s="193" t="s">
        <v>221</v>
      </c>
      <c r="O502" s="194" t="s">
        <v>903</v>
      </c>
      <c r="P502" s="211">
        <f t="shared" si="119"/>
        <v>1</v>
      </c>
      <c r="Q502" s="196">
        <f t="shared" si="120"/>
        <v>290000000</v>
      </c>
      <c r="R502" s="196">
        <f t="shared" si="121"/>
        <v>290000000</v>
      </c>
      <c r="S502" s="201" t="s">
        <v>217</v>
      </c>
      <c r="T502" s="211">
        <f t="shared" si="122"/>
        <v>0</v>
      </c>
      <c r="U502" s="198" t="str">
        <f t="shared" si="115"/>
        <v>SUBDIRECCION DE GESTION CONTRACTUAL</v>
      </c>
      <c r="V502" s="211" t="str">
        <f t="shared" si="116"/>
        <v>CO-DC</v>
      </c>
      <c r="W502" s="272" t="str">
        <f t="shared" si="117"/>
        <v>Distrito Capital de Bogotá</v>
      </c>
      <c r="X502" s="209" t="s">
        <v>110</v>
      </c>
      <c r="Y502" s="202">
        <v>2427400</v>
      </c>
      <c r="Z502" s="212" t="s">
        <v>111</v>
      </c>
      <c r="AA502" s="134"/>
      <c r="AB502" s="134"/>
      <c r="AC502" s="134"/>
      <c r="AD502" s="134"/>
      <c r="AE502" s="134"/>
      <c r="AF502" s="134"/>
      <c r="AG502" s="134"/>
      <c r="AH502" s="134"/>
      <c r="AI502" s="134"/>
      <c r="AJ502" s="134"/>
      <c r="AK502" s="134"/>
      <c r="AL502" s="134"/>
      <c r="AM502" s="134"/>
      <c r="AN502" s="134"/>
      <c r="AO502" s="134"/>
      <c r="AP502" s="134"/>
      <c r="AQ502" s="134"/>
      <c r="AR502" s="134"/>
      <c r="AS502" s="134"/>
      <c r="AT502" s="134"/>
      <c r="AU502" s="132"/>
      <c r="AV502" s="132"/>
      <c r="AW502" s="132"/>
      <c r="AX502" s="132"/>
      <c r="AY502" s="132"/>
      <c r="AZ502" s="132"/>
      <c r="BA502" s="132"/>
      <c r="BB502" s="132"/>
      <c r="BC502" s="132"/>
      <c r="BD502" s="132"/>
      <c r="BE502" s="132"/>
      <c r="BF502" s="132"/>
      <c r="BG502" s="132"/>
      <c r="BH502" s="132"/>
      <c r="BI502" s="132"/>
      <c r="BJ502" s="132"/>
      <c r="BK502" s="132"/>
      <c r="BL502" s="132"/>
      <c r="BM502" s="132"/>
      <c r="BN502" s="132"/>
      <c r="BO502" s="132"/>
      <c r="BP502" s="132"/>
      <c r="BQ502" s="132"/>
      <c r="BR502" s="132"/>
      <c r="BS502" s="132"/>
      <c r="BT502" s="132"/>
      <c r="BU502" s="132"/>
      <c r="BV502" s="132"/>
      <c r="BW502" s="132"/>
      <c r="BX502" s="132"/>
      <c r="BY502" s="132"/>
      <c r="BZ502" s="132"/>
      <c r="CA502" s="132"/>
      <c r="CB502" s="132"/>
      <c r="CC502" s="132"/>
      <c r="CD502" s="132"/>
      <c r="CE502" s="132"/>
      <c r="CF502" s="132"/>
      <c r="CG502" s="140"/>
    </row>
    <row r="503" spans="1:85" s="139" customFormat="1" ht="13.9" customHeight="1" x14ac:dyDescent="0.2">
      <c r="A503" s="184" t="s">
        <v>114</v>
      </c>
      <c r="B503" s="185">
        <v>1</v>
      </c>
      <c r="C503" s="186" t="s">
        <v>536</v>
      </c>
      <c r="D503" s="186" t="s">
        <v>409</v>
      </c>
      <c r="E503" s="187"/>
      <c r="F503" s="187">
        <v>1416666667</v>
      </c>
      <c r="G503" s="187"/>
      <c r="H503" s="188">
        <v>80111600</v>
      </c>
      <c r="I503" s="189" t="s">
        <v>410</v>
      </c>
      <c r="J503" s="206">
        <v>1</v>
      </c>
      <c r="K503" s="206">
        <v>1</v>
      </c>
      <c r="L503" s="206">
        <v>12</v>
      </c>
      <c r="M503" s="185">
        <f t="shared" si="118"/>
        <v>1</v>
      </c>
      <c r="N503" s="193" t="s">
        <v>210</v>
      </c>
      <c r="O503" s="194" t="s">
        <v>264</v>
      </c>
      <c r="P503" s="195">
        <f t="shared" si="119"/>
        <v>1</v>
      </c>
      <c r="Q503" s="196">
        <f t="shared" si="120"/>
        <v>1416666667</v>
      </c>
      <c r="R503" s="196">
        <f t="shared" si="121"/>
        <v>1416666667</v>
      </c>
      <c r="S503" s="197" t="s">
        <v>217</v>
      </c>
      <c r="T503" s="193">
        <f t="shared" si="122"/>
        <v>0</v>
      </c>
      <c r="U503" s="198" t="str">
        <f t="shared" si="115"/>
        <v>SUBDIRECCION DE GESTION CONTRACTUAL</v>
      </c>
      <c r="V503" s="185" t="str">
        <f t="shared" si="116"/>
        <v>CO-DC</v>
      </c>
      <c r="W503" s="198" t="str">
        <f t="shared" si="117"/>
        <v>Distrito Capital de Bogotá</v>
      </c>
      <c r="X503" s="199" t="s">
        <v>299</v>
      </c>
      <c r="Y503" s="185">
        <v>2427400</v>
      </c>
      <c r="Z503" s="200" t="s">
        <v>92</v>
      </c>
      <c r="AA503" s="134"/>
      <c r="AB503" s="134"/>
      <c r="AC503" s="134"/>
      <c r="AD503" s="134"/>
      <c r="AE503" s="134"/>
      <c r="AF503" s="134"/>
      <c r="AG503" s="134"/>
      <c r="AH503" s="134"/>
      <c r="AI503" s="134"/>
      <c r="AJ503" s="134"/>
      <c r="AK503" s="134"/>
      <c r="AL503" s="134"/>
      <c r="AM503" s="134"/>
      <c r="AN503" s="134"/>
      <c r="AO503" s="134"/>
      <c r="AP503" s="134"/>
      <c r="AQ503" s="134"/>
      <c r="AR503" s="134"/>
      <c r="AS503" s="134"/>
      <c r="AT503" s="134"/>
      <c r="AU503" s="132"/>
      <c r="AV503" s="132"/>
      <c r="AW503" s="132"/>
      <c r="AX503" s="132"/>
      <c r="AY503" s="132"/>
      <c r="AZ503" s="132"/>
      <c r="BA503" s="132"/>
      <c r="BB503" s="132"/>
      <c r="BC503" s="132"/>
      <c r="BD503" s="132"/>
      <c r="BE503" s="132"/>
      <c r="BF503" s="132"/>
      <c r="BG503" s="132"/>
      <c r="BH503" s="132"/>
      <c r="BI503" s="132"/>
      <c r="BJ503" s="132"/>
      <c r="BK503" s="132"/>
      <c r="BL503" s="132"/>
      <c r="BM503" s="132"/>
      <c r="BN503" s="132"/>
      <c r="BO503" s="132"/>
      <c r="BP503" s="132"/>
      <c r="BQ503" s="132"/>
      <c r="BR503" s="132"/>
      <c r="BS503" s="132"/>
      <c r="BT503" s="132"/>
      <c r="BU503" s="132"/>
      <c r="BV503" s="132"/>
      <c r="BW503" s="132"/>
      <c r="BX503" s="132"/>
      <c r="BY503" s="132"/>
      <c r="BZ503" s="132"/>
      <c r="CA503" s="132"/>
      <c r="CB503" s="132"/>
      <c r="CC503" s="132"/>
      <c r="CD503" s="132"/>
      <c r="CE503" s="132"/>
      <c r="CF503" s="132"/>
      <c r="CG503" s="140"/>
    </row>
    <row r="504" spans="1:85" s="139" customFormat="1" ht="13.9" customHeight="1" x14ac:dyDescent="0.2">
      <c r="A504" s="184" t="s">
        <v>114</v>
      </c>
      <c r="B504" s="185">
        <v>2</v>
      </c>
      <c r="C504" s="186" t="s">
        <v>115</v>
      </c>
      <c r="D504" s="186" t="s">
        <v>409</v>
      </c>
      <c r="E504" s="187"/>
      <c r="F504" s="187">
        <v>1375206666</v>
      </c>
      <c r="G504" s="187"/>
      <c r="H504" s="188">
        <v>80111600</v>
      </c>
      <c r="I504" s="189" t="s">
        <v>410</v>
      </c>
      <c r="J504" s="206">
        <v>1</v>
      </c>
      <c r="K504" s="206">
        <v>1</v>
      </c>
      <c r="L504" s="206">
        <v>12</v>
      </c>
      <c r="M504" s="185">
        <f t="shared" si="118"/>
        <v>1</v>
      </c>
      <c r="N504" s="193" t="s">
        <v>210</v>
      </c>
      <c r="O504" s="194" t="s">
        <v>264</v>
      </c>
      <c r="P504" s="195">
        <f t="shared" si="119"/>
        <v>1</v>
      </c>
      <c r="Q504" s="196">
        <f t="shared" si="120"/>
        <v>1375206666</v>
      </c>
      <c r="R504" s="196">
        <f t="shared" si="121"/>
        <v>1375206666</v>
      </c>
      <c r="S504" s="197" t="s">
        <v>217</v>
      </c>
      <c r="T504" s="193">
        <f t="shared" si="122"/>
        <v>0</v>
      </c>
      <c r="U504" s="198" t="str">
        <f t="shared" si="115"/>
        <v>SUBDIRECCION DE GESTION CONTRACTUAL</v>
      </c>
      <c r="V504" s="185" t="str">
        <f t="shared" si="116"/>
        <v>CO-DC</v>
      </c>
      <c r="W504" s="198" t="str">
        <f t="shared" si="117"/>
        <v>Distrito Capital de Bogotá</v>
      </c>
      <c r="X504" s="199" t="s">
        <v>299</v>
      </c>
      <c r="Y504" s="185">
        <v>2427400</v>
      </c>
      <c r="Z504" s="200" t="s">
        <v>92</v>
      </c>
      <c r="AA504" s="134"/>
      <c r="AB504" s="134"/>
      <c r="AC504" s="134"/>
      <c r="AD504" s="134"/>
      <c r="AE504" s="134"/>
      <c r="AF504" s="134"/>
      <c r="AG504" s="134"/>
      <c r="AH504" s="134"/>
      <c r="AI504" s="134"/>
      <c r="AJ504" s="134"/>
      <c r="AK504" s="134"/>
      <c r="AL504" s="134"/>
      <c r="AM504" s="134"/>
      <c r="AN504" s="134"/>
      <c r="AO504" s="134"/>
      <c r="AP504" s="134"/>
      <c r="AQ504" s="134"/>
      <c r="AR504" s="134"/>
      <c r="AS504" s="134"/>
      <c r="AT504" s="134"/>
      <c r="AU504" s="132"/>
      <c r="AV504" s="132"/>
      <c r="AW504" s="132"/>
      <c r="AX504" s="132"/>
      <c r="AY504" s="132"/>
      <c r="AZ504" s="132"/>
      <c r="BA504" s="132"/>
      <c r="BB504" s="132"/>
      <c r="BC504" s="132"/>
      <c r="BD504" s="132"/>
      <c r="BE504" s="132"/>
      <c r="BF504" s="132"/>
      <c r="BG504" s="132"/>
      <c r="BH504" s="132"/>
      <c r="BI504" s="132"/>
      <c r="BJ504" s="132"/>
      <c r="BK504" s="132"/>
      <c r="BL504" s="132"/>
      <c r="BM504" s="132"/>
      <c r="BN504" s="132"/>
      <c r="BO504" s="132"/>
      <c r="BP504" s="132"/>
      <c r="BQ504" s="132"/>
      <c r="BR504" s="132"/>
      <c r="BS504" s="132"/>
      <c r="BT504" s="132"/>
      <c r="BU504" s="132"/>
      <c r="BV504" s="132"/>
      <c r="BW504" s="132"/>
      <c r="BX504" s="132"/>
      <c r="BY504" s="132"/>
      <c r="BZ504" s="132"/>
      <c r="CA504" s="132"/>
      <c r="CB504" s="132"/>
      <c r="CC504" s="132"/>
      <c r="CD504" s="132"/>
      <c r="CE504" s="132"/>
      <c r="CF504" s="132"/>
      <c r="CG504" s="140"/>
    </row>
    <row r="505" spans="1:85" s="139" customFormat="1" ht="13.9" customHeight="1" x14ac:dyDescent="0.2">
      <c r="A505" s="184" t="s">
        <v>114</v>
      </c>
      <c r="B505" s="185">
        <v>3</v>
      </c>
      <c r="C505" s="186" t="s">
        <v>115</v>
      </c>
      <c r="D505" s="186" t="s">
        <v>409</v>
      </c>
      <c r="E505" s="187"/>
      <c r="F505" s="187">
        <f>2623583333-225000000-200000000-1386583333</f>
        <v>812000000</v>
      </c>
      <c r="G505" s="187"/>
      <c r="H505" s="188" t="s">
        <v>411</v>
      </c>
      <c r="I505" s="189" t="s">
        <v>412</v>
      </c>
      <c r="J505" s="206">
        <v>6</v>
      </c>
      <c r="K505" s="206">
        <v>10</v>
      </c>
      <c r="L505" s="206">
        <v>2</v>
      </c>
      <c r="M505" s="185">
        <f t="shared" si="118"/>
        <v>1</v>
      </c>
      <c r="N505" s="193" t="s">
        <v>221</v>
      </c>
      <c r="O505" s="194" t="s">
        <v>903</v>
      </c>
      <c r="P505" s="195">
        <f t="shared" si="119"/>
        <v>1</v>
      </c>
      <c r="Q505" s="196">
        <f t="shared" si="120"/>
        <v>812000000</v>
      </c>
      <c r="R505" s="196">
        <f t="shared" si="121"/>
        <v>812000000</v>
      </c>
      <c r="S505" s="197" t="s">
        <v>217</v>
      </c>
      <c r="T505" s="193">
        <f t="shared" si="122"/>
        <v>0</v>
      </c>
      <c r="U505" s="198" t="str">
        <f t="shared" si="115"/>
        <v>SUBDIRECCION DE GESTION CONTRACTUAL</v>
      </c>
      <c r="V505" s="185" t="str">
        <f t="shared" si="116"/>
        <v>CO-DC</v>
      </c>
      <c r="W505" s="198" t="str">
        <f t="shared" si="117"/>
        <v>Distrito Capital de Bogotá</v>
      </c>
      <c r="X505" s="199" t="s">
        <v>299</v>
      </c>
      <c r="Y505" s="185">
        <v>2427400</v>
      </c>
      <c r="Z505" s="200" t="s">
        <v>92</v>
      </c>
      <c r="AA505" s="134"/>
      <c r="AB505" s="134"/>
      <c r="AC505" s="134"/>
      <c r="AD505" s="134"/>
      <c r="AE505" s="134"/>
      <c r="AF505" s="134"/>
      <c r="AG505" s="134"/>
      <c r="AH505" s="134"/>
      <c r="AI505" s="134"/>
      <c r="AJ505" s="134"/>
      <c r="AK505" s="134"/>
      <c r="AL505" s="134"/>
      <c r="AM505" s="134"/>
      <c r="AN505" s="134"/>
      <c r="AO505" s="134"/>
      <c r="AP505" s="134"/>
      <c r="AQ505" s="134"/>
      <c r="AR505" s="134"/>
      <c r="AS505" s="134"/>
      <c r="AT505" s="134"/>
      <c r="AU505" s="132"/>
      <c r="AV505" s="132"/>
      <c r="AW505" s="132"/>
      <c r="AX505" s="132"/>
      <c r="AY505" s="132"/>
      <c r="AZ505" s="132"/>
      <c r="BA505" s="132"/>
      <c r="BB505" s="132"/>
      <c r="BC505" s="132"/>
      <c r="BD505" s="132"/>
      <c r="BE505" s="132"/>
      <c r="BF505" s="132"/>
      <c r="BG505" s="132"/>
      <c r="BH505" s="132"/>
      <c r="BI505" s="132"/>
      <c r="BJ505" s="132"/>
      <c r="BK505" s="132"/>
      <c r="BL505" s="132"/>
      <c r="BM505" s="132"/>
      <c r="BN505" s="132"/>
      <c r="BO505" s="132"/>
      <c r="BP505" s="132"/>
      <c r="BQ505" s="132"/>
      <c r="BR505" s="132"/>
      <c r="BS505" s="132"/>
      <c r="BT505" s="132"/>
      <c r="BU505" s="132"/>
      <c r="BV505" s="132"/>
      <c r="BW505" s="132"/>
      <c r="BX505" s="132"/>
      <c r="BY505" s="132"/>
      <c r="BZ505" s="132"/>
      <c r="CA505" s="132"/>
      <c r="CB505" s="132"/>
      <c r="CC505" s="132"/>
      <c r="CD505" s="132"/>
      <c r="CE505" s="132"/>
      <c r="CF505" s="132"/>
      <c r="CG505" s="140"/>
    </row>
    <row r="506" spans="1:85" s="139" customFormat="1" ht="13.9" customHeight="1" x14ac:dyDescent="0.2">
      <c r="A506" s="184" t="s">
        <v>114</v>
      </c>
      <c r="B506" s="185">
        <v>4</v>
      </c>
      <c r="C506" s="186" t="s">
        <v>115</v>
      </c>
      <c r="D506" s="186" t="s">
        <v>409</v>
      </c>
      <c r="E506" s="187"/>
      <c r="F506" s="187">
        <f>225000000+225000000</f>
        <v>450000000</v>
      </c>
      <c r="G506" s="187"/>
      <c r="H506" s="188" t="s">
        <v>116</v>
      </c>
      <c r="I506" s="189" t="s">
        <v>795</v>
      </c>
      <c r="J506" s="206">
        <v>3</v>
      </c>
      <c r="K506" s="206">
        <v>5</v>
      </c>
      <c r="L506" s="206">
        <v>2</v>
      </c>
      <c r="M506" s="185">
        <f t="shared" si="118"/>
        <v>1</v>
      </c>
      <c r="N506" s="193" t="s">
        <v>43</v>
      </c>
      <c r="O506" s="194" t="s">
        <v>44</v>
      </c>
      <c r="P506" s="195">
        <f t="shared" si="119"/>
        <v>1</v>
      </c>
      <c r="Q506" s="196">
        <f t="shared" si="120"/>
        <v>450000000</v>
      </c>
      <c r="R506" s="196">
        <f t="shared" si="121"/>
        <v>450000000</v>
      </c>
      <c r="S506" s="197" t="s">
        <v>217</v>
      </c>
      <c r="T506" s="193">
        <f t="shared" si="122"/>
        <v>0</v>
      </c>
      <c r="U506" s="198" t="str">
        <f t="shared" si="115"/>
        <v>SUBDIRECCION DE GESTION CONTRACTUAL</v>
      </c>
      <c r="V506" s="185" t="str">
        <f t="shared" si="116"/>
        <v>CO-DC</v>
      </c>
      <c r="W506" s="198" t="str">
        <f t="shared" si="117"/>
        <v>Distrito Capital de Bogotá</v>
      </c>
      <c r="X506" s="199" t="s">
        <v>299</v>
      </c>
      <c r="Y506" s="185">
        <v>2427400</v>
      </c>
      <c r="Z506" s="200" t="s">
        <v>92</v>
      </c>
      <c r="AA506" s="134"/>
      <c r="AB506" s="134"/>
      <c r="AC506" s="134"/>
      <c r="AD506" s="134"/>
      <c r="AE506" s="134"/>
      <c r="AF506" s="134"/>
      <c r="AG506" s="134"/>
      <c r="AH506" s="134"/>
      <c r="AI506" s="134"/>
      <c r="AJ506" s="134"/>
      <c r="AK506" s="134"/>
      <c r="AL506" s="134"/>
      <c r="AM506" s="134"/>
      <c r="AN506" s="134"/>
      <c r="AO506" s="134"/>
      <c r="AP506" s="134"/>
      <c r="AQ506" s="134"/>
      <c r="AR506" s="134"/>
      <c r="AS506" s="134"/>
      <c r="AT506" s="134"/>
      <c r="AU506" s="132"/>
      <c r="AV506" s="132"/>
      <c r="AW506" s="132"/>
      <c r="AX506" s="132"/>
      <c r="AY506" s="132"/>
      <c r="AZ506" s="132"/>
      <c r="BA506" s="132"/>
      <c r="BB506" s="132"/>
      <c r="BC506" s="132"/>
      <c r="BD506" s="132"/>
      <c r="BE506" s="132"/>
      <c r="BF506" s="132"/>
      <c r="BG506" s="132"/>
      <c r="BH506" s="132"/>
      <c r="BI506" s="132"/>
      <c r="BJ506" s="132"/>
      <c r="BK506" s="132"/>
      <c r="BL506" s="132"/>
      <c r="BM506" s="132"/>
      <c r="BN506" s="132"/>
      <c r="BO506" s="132"/>
      <c r="BP506" s="132"/>
      <c r="BQ506" s="132"/>
      <c r="BR506" s="132"/>
      <c r="BS506" s="132"/>
      <c r="BT506" s="132"/>
      <c r="BU506" s="132"/>
      <c r="BV506" s="132"/>
      <c r="BW506" s="132"/>
      <c r="BX506" s="132"/>
      <c r="BY506" s="132"/>
      <c r="BZ506" s="132"/>
      <c r="CA506" s="132"/>
      <c r="CB506" s="132"/>
      <c r="CC506" s="132"/>
      <c r="CD506" s="132"/>
      <c r="CE506" s="132"/>
      <c r="CF506" s="132"/>
      <c r="CG506" s="140"/>
    </row>
    <row r="507" spans="1:85" s="139" customFormat="1" ht="13.9" customHeight="1" x14ac:dyDescent="0.2">
      <c r="A507" s="184" t="s">
        <v>114</v>
      </c>
      <c r="B507" s="185">
        <v>5</v>
      </c>
      <c r="C507" s="186" t="s">
        <v>115</v>
      </c>
      <c r="D507" s="186" t="s">
        <v>409</v>
      </c>
      <c r="E507" s="187"/>
      <c r="F507" s="187">
        <v>250000000</v>
      </c>
      <c r="G507" s="187"/>
      <c r="H507" s="188" t="s">
        <v>413</v>
      </c>
      <c r="I507" s="189" t="s">
        <v>414</v>
      </c>
      <c r="J507" s="206">
        <v>3</v>
      </c>
      <c r="K507" s="206">
        <v>5</v>
      </c>
      <c r="L507" s="206">
        <v>2</v>
      </c>
      <c r="M507" s="185">
        <f t="shared" si="118"/>
        <v>1</v>
      </c>
      <c r="N507" s="193" t="s">
        <v>43</v>
      </c>
      <c r="O507" s="194" t="s">
        <v>44</v>
      </c>
      <c r="P507" s="195">
        <f t="shared" si="119"/>
        <v>1</v>
      </c>
      <c r="Q507" s="196">
        <f t="shared" si="120"/>
        <v>250000000</v>
      </c>
      <c r="R507" s="196">
        <f t="shared" si="121"/>
        <v>250000000</v>
      </c>
      <c r="S507" s="197" t="s">
        <v>217</v>
      </c>
      <c r="T507" s="193">
        <f t="shared" si="122"/>
        <v>0</v>
      </c>
      <c r="U507" s="198" t="str">
        <f t="shared" si="115"/>
        <v>SUBDIRECCION DE GESTION CONTRACTUAL</v>
      </c>
      <c r="V507" s="185" t="str">
        <f t="shared" si="116"/>
        <v>CO-DC</v>
      </c>
      <c r="W507" s="198" t="str">
        <f t="shared" si="117"/>
        <v>Distrito Capital de Bogotá</v>
      </c>
      <c r="X507" s="199" t="s">
        <v>299</v>
      </c>
      <c r="Y507" s="185">
        <v>2427400</v>
      </c>
      <c r="Z507" s="200" t="s">
        <v>92</v>
      </c>
      <c r="AA507" s="134"/>
      <c r="AB507" s="134"/>
      <c r="AC507" s="134"/>
      <c r="AD507" s="134"/>
      <c r="AE507" s="134"/>
      <c r="AF507" s="134"/>
      <c r="AG507" s="134"/>
      <c r="AH507" s="134"/>
      <c r="AI507" s="134"/>
      <c r="AJ507" s="134"/>
      <c r="AK507" s="134"/>
      <c r="AL507" s="134"/>
      <c r="AM507" s="134"/>
      <c r="AN507" s="134"/>
      <c r="AO507" s="134"/>
      <c r="AP507" s="134"/>
      <c r="AQ507" s="134"/>
      <c r="AR507" s="134"/>
      <c r="AS507" s="134"/>
      <c r="AT507" s="134"/>
      <c r="AU507" s="132"/>
      <c r="AV507" s="132"/>
      <c r="AW507" s="132"/>
      <c r="AX507" s="132"/>
      <c r="AY507" s="132"/>
      <c r="AZ507" s="132"/>
      <c r="BA507" s="132"/>
      <c r="BB507" s="132"/>
      <c r="BC507" s="132"/>
      <c r="BD507" s="132"/>
      <c r="BE507" s="132"/>
      <c r="BF507" s="132"/>
      <c r="BG507" s="132"/>
      <c r="BH507" s="132"/>
      <c r="BI507" s="132"/>
      <c r="BJ507" s="132"/>
      <c r="BK507" s="132"/>
      <c r="BL507" s="132"/>
      <c r="BM507" s="132"/>
      <c r="BN507" s="132"/>
      <c r="BO507" s="132"/>
      <c r="BP507" s="132"/>
      <c r="BQ507" s="132"/>
      <c r="BR507" s="132"/>
      <c r="BS507" s="132"/>
      <c r="BT507" s="132"/>
      <c r="BU507" s="132"/>
      <c r="BV507" s="132"/>
      <c r="BW507" s="132"/>
      <c r="BX507" s="132"/>
      <c r="BY507" s="132"/>
      <c r="BZ507" s="132"/>
      <c r="CA507" s="132"/>
      <c r="CB507" s="132"/>
      <c r="CC507" s="132"/>
      <c r="CD507" s="132"/>
      <c r="CE507" s="132"/>
      <c r="CF507" s="132"/>
      <c r="CG507" s="140"/>
    </row>
    <row r="508" spans="1:85" s="139" customFormat="1" ht="13.9" customHeight="1" x14ac:dyDescent="0.25">
      <c r="A508" s="184" t="s">
        <v>114</v>
      </c>
      <c r="B508" s="185">
        <v>6</v>
      </c>
      <c r="C508" s="186" t="s">
        <v>536</v>
      </c>
      <c r="D508" s="186" t="s">
        <v>409</v>
      </c>
      <c r="E508" s="187"/>
      <c r="F508" s="187">
        <f>1297767202-1000000000+302232798</f>
        <v>600000000</v>
      </c>
      <c r="G508" s="187"/>
      <c r="H508" s="188" t="s">
        <v>415</v>
      </c>
      <c r="I508" s="189" t="s">
        <v>812</v>
      </c>
      <c r="J508" s="206">
        <v>6</v>
      </c>
      <c r="K508" s="206">
        <v>8</v>
      </c>
      <c r="L508" s="206">
        <v>4</v>
      </c>
      <c r="M508" s="185">
        <f t="shared" si="118"/>
        <v>1</v>
      </c>
      <c r="N508" s="193" t="s">
        <v>43</v>
      </c>
      <c r="O508" s="194" t="s">
        <v>44</v>
      </c>
      <c r="P508" s="195">
        <f t="shared" si="119"/>
        <v>1</v>
      </c>
      <c r="Q508" s="196">
        <f t="shared" si="120"/>
        <v>600000000</v>
      </c>
      <c r="R508" s="196">
        <f t="shared" si="121"/>
        <v>600000000</v>
      </c>
      <c r="S508" s="197" t="s">
        <v>217</v>
      </c>
      <c r="T508" s="193">
        <f t="shared" si="122"/>
        <v>0</v>
      </c>
      <c r="U508" s="198" t="str">
        <f t="shared" si="115"/>
        <v>SUBDIRECCION DE GESTION CONTRACTUAL</v>
      </c>
      <c r="V508" s="185" t="str">
        <f t="shared" si="116"/>
        <v>CO-DC</v>
      </c>
      <c r="W508" s="198" t="str">
        <f t="shared" si="117"/>
        <v>Distrito Capital de Bogotá</v>
      </c>
      <c r="X508" s="199" t="s">
        <v>807</v>
      </c>
      <c r="Y508" s="185">
        <v>2427400</v>
      </c>
      <c r="Z508" s="125" t="s">
        <v>813</v>
      </c>
      <c r="AA508" s="134"/>
      <c r="AB508" s="134"/>
      <c r="AC508" s="134"/>
      <c r="AD508" s="134"/>
      <c r="AE508" s="134"/>
      <c r="AF508" s="134"/>
      <c r="AG508" s="134"/>
      <c r="AH508" s="134"/>
      <c r="AI508" s="134"/>
      <c r="AJ508" s="134"/>
      <c r="AK508" s="134"/>
      <c r="AL508" s="134"/>
      <c r="AM508" s="134"/>
      <c r="AN508" s="134"/>
      <c r="AO508" s="134"/>
      <c r="AP508" s="134"/>
      <c r="AQ508" s="134"/>
      <c r="AR508" s="134"/>
      <c r="AS508" s="134"/>
      <c r="AT508" s="134"/>
      <c r="AU508" s="132"/>
      <c r="AV508" s="132"/>
      <c r="AW508" s="132"/>
      <c r="AX508" s="132"/>
      <c r="AY508" s="132"/>
      <c r="AZ508" s="132"/>
      <c r="BA508" s="132"/>
      <c r="BB508" s="132"/>
      <c r="BC508" s="132"/>
      <c r="BD508" s="132"/>
      <c r="BE508" s="132"/>
      <c r="BF508" s="132"/>
      <c r="BG508" s="132"/>
      <c r="BH508" s="132"/>
      <c r="BI508" s="132"/>
      <c r="BJ508" s="132"/>
      <c r="BK508" s="132"/>
      <c r="BL508" s="132"/>
      <c r="BM508" s="132"/>
      <c r="BN508" s="132"/>
      <c r="BO508" s="132"/>
      <c r="BP508" s="132"/>
      <c r="BQ508" s="132"/>
      <c r="BR508" s="132"/>
      <c r="BS508" s="132"/>
      <c r="BT508" s="132"/>
      <c r="BU508" s="132"/>
      <c r="BV508" s="132"/>
      <c r="BW508" s="132"/>
      <c r="BX508" s="132"/>
      <c r="BY508" s="132"/>
      <c r="BZ508" s="132"/>
      <c r="CA508" s="132"/>
      <c r="CB508" s="132"/>
      <c r="CC508" s="132"/>
      <c r="CD508" s="132"/>
      <c r="CE508" s="132"/>
      <c r="CF508" s="132"/>
      <c r="CG508" s="140"/>
    </row>
    <row r="509" spans="1:85" s="139" customFormat="1" ht="13.9" customHeight="1" x14ac:dyDescent="0.2">
      <c r="A509" s="184" t="s">
        <v>114</v>
      </c>
      <c r="B509" s="185">
        <v>7</v>
      </c>
      <c r="C509" s="186" t="s">
        <v>115</v>
      </c>
      <c r="D509" s="186" t="s">
        <v>409</v>
      </c>
      <c r="E509" s="187"/>
      <c r="F509" s="187">
        <v>80000000</v>
      </c>
      <c r="G509" s="187"/>
      <c r="H509" s="188" t="s">
        <v>117</v>
      </c>
      <c r="I509" s="189" t="s">
        <v>416</v>
      </c>
      <c r="J509" s="206">
        <v>8</v>
      </c>
      <c r="K509" s="206">
        <v>8</v>
      </c>
      <c r="L509" s="206">
        <v>2</v>
      </c>
      <c r="M509" s="185">
        <f t="shared" si="118"/>
        <v>1</v>
      </c>
      <c r="N509" s="193" t="s">
        <v>53</v>
      </c>
      <c r="O509" s="194" t="s">
        <v>54</v>
      </c>
      <c r="P509" s="195">
        <f t="shared" si="119"/>
        <v>1</v>
      </c>
      <c r="Q509" s="196">
        <f t="shared" si="120"/>
        <v>80000000</v>
      </c>
      <c r="R509" s="196">
        <f t="shared" si="121"/>
        <v>80000000</v>
      </c>
      <c r="S509" s="197" t="s">
        <v>217</v>
      </c>
      <c r="T509" s="193">
        <f t="shared" si="122"/>
        <v>0</v>
      </c>
      <c r="U509" s="198" t="str">
        <f t="shared" si="115"/>
        <v>SUBDIRECCION DE GESTION CONTRACTUAL</v>
      </c>
      <c r="V509" s="185" t="str">
        <f t="shared" si="116"/>
        <v>CO-DC</v>
      </c>
      <c r="W509" s="198" t="str">
        <f t="shared" si="117"/>
        <v>Distrito Capital de Bogotá</v>
      </c>
      <c r="X509" s="199" t="s">
        <v>299</v>
      </c>
      <c r="Y509" s="185">
        <v>2427400</v>
      </c>
      <c r="Z509" s="200" t="s">
        <v>92</v>
      </c>
      <c r="AA509" s="134"/>
      <c r="AB509" s="134"/>
      <c r="AC509" s="134"/>
      <c r="AD509" s="134"/>
      <c r="AE509" s="134"/>
      <c r="AF509" s="134"/>
      <c r="AG509" s="134"/>
      <c r="AH509" s="134"/>
      <c r="AI509" s="134"/>
      <c r="AJ509" s="134"/>
      <c r="AK509" s="134"/>
      <c r="AL509" s="134"/>
      <c r="AM509" s="134"/>
      <c r="AN509" s="134"/>
      <c r="AO509" s="134"/>
      <c r="AP509" s="134"/>
      <c r="AQ509" s="134"/>
      <c r="AR509" s="134"/>
      <c r="AS509" s="134"/>
      <c r="AT509" s="134"/>
      <c r="AU509" s="132"/>
      <c r="AV509" s="132"/>
      <c r="AW509" s="132"/>
      <c r="AX509" s="132"/>
      <c r="AY509" s="132"/>
      <c r="AZ509" s="132"/>
      <c r="BA509" s="132"/>
      <c r="BB509" s="132"/>
      <c r="BC509" s="132"/>
      <c r="BD509" s="132"/>
      <c r="BE509" s="132"/>
      <c r="BF509" s="132"/>
      <c r="BG509" s="132"/>
      <c r="BH509" s="132"/>
      <c r="BI509" s="132"/>
      <c r="BJ509" s="132"/>
      <c r="BK509" s="132"/>
      <c r="BL509" s="132"/>
      <c r="BM509" s="132"/>
      <c r="BN509" s="132"/>
      <c r="BO509" s="132"/>
      <c r="BP509" s="132"/>
      <c r="BQ509" s="132"/>
      <c r="BR509" s="132"/>
      <c r="BS509" s="132"/>
      <c r="BT509" s="132"/>
      <c r="BU509" s="132"/>
      <c r="BV509" s="132"/>
      <c r="BW509" s="132"/>
      <c r="BX509" s="132"/>
      <c r="BY509" s="132"/>
      <c r="BZ509" s="132"/>
      <c r="CA509" s="132"/>
      <c r="CB509" s="132"/>
      <c r="CC509" s="132"/>
      <c r="CD509" s="132"/>
      <c r="CE509" s="132"/>
      <c r="CF509" s="132"/>
      <c r="CG509" s="140"/>
    </row>
    <row r="510" spans="1:85" s="139" customFormat="1" ht="13.9" customHeight="1" x14ac:dyDescent="0.2">
      <c r="A510" s="184" t="s">
        <v>114</v>
      </c>
      <c r="B510" s="185">
        <v>8</v>
      </c>
      <c r="C510" s="186" t="s">
        <v>115</v>
      </c>
      <c r="D510" s="186" t="s">
        <v>409</v>
      </c>
      <c r="E510" s="187"/>
      <c r="F510" s="187">
        <v>350000000</v>
      </c>
      <c r="G510" s="187"/>
      <c r="H510" s="188" t="s">
        <v>975</v>
      </c>
      <c r="I510" s="189" t="s">
        <v>976</v>
      </c>
      <c r="J510" s="206">
        <v>7</v>
      </c>
      <c r="K510" s="206">
        <v>9</v>
      </c>
      <c r="L510" s="206">
        <v>3</v>
      </c>
      <c r="M510" s="185">
        <v>1</v>
      </c>
      <c r="N510" s="193" t="s">
        <v>61</v>
      </c>
      <c r="O510" s="194" t="s">
        <v>902</v>
      </c>
      <c r="P510" s="195">
        <f t="shared" si="119"/>
        <v>1</v>
      </c>
      <c r="Q510" s="196">
        <f t="shared" si="120"/>
        <v>350000000</v>
      </c>
      <c r="R510" s="196">
        <f t="shared" si="121"/>
        <v>350000000</v>
      </c>
      <c r="S510" s="197" t="s">
        <v>217</v>
      </c>
      <c r="T510" s="193">
        <f t="shared" si="122"/>
        <v>0</v>
      </c>
      <c r="U510" s="198" t="str">
        <f t="shared" si="115"/>
        <v>SUBDIRECCION DE GESTION CONTRACTUAL</v>
      </c>
      <c r="V510" s="185" t="str">
        <f t="shared" si="116"/>
        <v>CO-DC</v>
      </c>
      <c r="W510" s="198" t="str">
        <f t="shared" si="117"/>
        <v>Distrito Capital de Bogotá</v>
      </c>
      <c r="X510" s="199" t="s">
        <v>299</v>
      </c>
      <c r="Y510" s="185">
        <v>2427400</v>
      </c>
      <c r="Z510" s="200" t="s">
        <v>92</v>
      </c>
      <c r="AA510" s="134"/>
      <c r="AB510" s="134"/>
      <c r="AC510" s="134"/>
      <c r="AD510" s="134"/>
      <c r="AE510" s="134"/>
      <c r="AF510" s="134"/>
      <c r="AG510" s="134"/>
      <c r="AH510" s="134"/>
      <c r="AI510" s="134"/>
      <c r="AJ510" s="134"/>
      <c r="AK510" s="134"/>
      <c r="AL510" s="134"/>
      <c r="AM510" s="134"/>
      <c r="AN510" s="134"/>
      <c r="AO510" s="134"/>
      <c r="AP510" s="134"/>
      <c r="AQ510" s="134"/>
      <c r="AR510" s="134"/>
      <c r="AS510" s="134"/>
      <c r="AT510" s="134"/>
      <c r="AU510" s="132"/>
      <c r="AV510" s="132"/>
      <c r="AW510" s="132"/>
      <c r="AX510" s="132"/>
      <c r="AY510" s="132"/>
      <c r="AZ510" s="132"/>
      <c r="BA510" s="132"/>
      <c r="BB510" s="132"/>
      <c r="BC510" s="132"/>
      <c r="BD510" s="132"/>
      <c r="BE510" s="132"/>
      <c r="BF510" s="132"/>
      <c r="BG510" s="132"/>
      <c r="BH510" s="132"/>
      <c r="BI510" s="132"/>
      <c r="BJ510" s="132"/>
      <c r="BK510" s="132"/>
      <c r="BL510" s="132"/>
      <c r="BM510" s="132"/>
      <c r="BN510" s="132"/>
      <c r="BO510" s="132"/>
      <c r="BP510" s="132"/>
      <c r="BQ510" s="132"/>
      <c r="BR510" s="132"/>
      <c r="BS510" s="132"/>
      <c r="BT510" s="132"/>
      <c r="BU510" s="132"/>
      <c r="BV510" s="132"/>
      <c r="BW510" s="132"/>
      <c r="BX510" s="132"/>
      <c r="BY510" s="132"/>
      <c r="BZ510" s="132"/>
      <c r="CA510" s="132"/>
      <c r="CB510" s="132"/>
      <c r="CC510" s="132"/>
      <c r="CD510" s="132"/>
      <c r="CE510" s="132"/>
      <c r="CF510" s="132"/>
      <c r="CG510" s="140"/>
    </row>
    <row r="511" spans="1:85" s="139" customFormat="1" ht="13.9" customHeight="1" x14ac:dyDescent="0.2">
      <c r="A511" s="184" t="s">
        <v>114</v>
      </c>
      <c r="B511" s="185">
        <v>9</v>
      </c>
      <c r="C511" s="186" t="s">
        <v>115</v>
      </c>
      <c r="D511" s="186" t="s">
        <v>409</v>
      </c>
      <c r="E511" s="187"/>
      <c r="F511" s="187">
        <f>1600000000-302232798</f>
        <v>1297767202</v>
      </c>
      <c r="G511" s="187"/>
      <c r="H511" s="188" t="s">
        <v>230</v>
      </c>
      <c r="I511" s="189" t="s">
        <v>417</v>
      </c>
      <c r="J511" s="206">
        <v>3</v>
      </c>
      <c r="K511" s="206">
        <v>3</v>
      </c>
      <c r="L511" s="206">
        <v>6</v>
      </c>
      <c r="M511" s="185">
        <f t="shared" ref="M511:M546" si="123">IF(ISBLANK(J511),"",1)</f>
        <v>1</v>
      </c>
      <c r="N511" s="193" t="s">
        <v>53</v>
      </c>
      <c r="O511" s="194" t="s">
        <v>54</v>
      </c>
      <c r="P511" s="195">
        <f t="shared" si="119"/>
        <v>1</v>
      </c>
      <c r="Q511" s="196">
        <f t="shared" si="120"/>
        <v>1297767202</v>
      </c>
      <c r="R511" s="196">
        <f t="shared" si="121"/>
        <v>1297767202</v>
      </c>
      <c r="S511" s="197" t="s">
        <v>217</v>
      </c>
      <c r="T511" s="193">
        <f t="shared" si="122"/>
        <v>0</v>
      </c>
      <c r="U511" s="198" t="str">
        <f t="shared" si="115"/>
        <v>SUBDIRECCION DE GESTION CONTRACTUAL</v>
      </c>
      <c r="V511" s="185" t="str">
        <f t="shared" si="116"/>
        <v>CO-DC</v>
      </c>
      <c r="W511" s="198" t="str">
        <f t="shared" si="117"/>
        <v>Distrito Capital de Bogotá</v>
      </c>
      <c r="X511" s="199" t="s">
        <v>299</v>
      </c>
      <c r="Y511" s="185">
        <v>2427400</v>
      </c>
      <c r="Z511" s="200" t="s">
        <v>92</v>
      </c>
      <c r="AA511" s="134"/>
      <c r="AB511" s="134"/>
      <c r="AC511" s="134"/>
      <c r="AD511" s="134"/>
      <c r="AE511" s="134"/>
      <c r="AF511" s="134"/>
      <c r="AG511" s="134"/>
      <c r="AH511" s="134"/>
      <c r="AI511" s="134"/>
      <c r="AJ511" s="134"/>
      <c r="AK511" s="134"/>
      <c r="AL511" s="134"/>
      <c r="AM511" s="134"/>
      <c r="AN511" s="134"/>
      <c r="AO511" s="134"/>
      <c r="AP511" s="134"/>
      <c r="AQ511" s="134"/>
      <c r="AR511" s="134"/>
      <c r="AS511" s="134"/>
      <c r="AT511" s="134"/>
      <c r="AU511" s="132"/>
      <c r="AV511" s="132"/>
      <c r="AW511" s="132"/>
      <c r="AX511" s="132"/>
      <c r="AY511" s="132"/>
      <c r="AZ511" s="132"/>
      <c r="BA511" s="132"/>
      <c r="BB511" s="132"/>
      <c r="BC511" s="132"/>
      <c r="BD511" s="132"/>
      <c r="BE511" s="132"/>
      <c r="BF511" s="132"/>
      <c r="BG511" s="132"/>
      <c r="BH511" s="132"/>
      <c r="BI511" s="132"/>
      <c r="BJ511" s="132"/>
      <c r="BK511" s="132"/>
      <c r="BL511" s="132"/>
      <c r="BM511" s="132"/>
      <c r="BN511" s="132"/>
      <c r="BO511" s="132"/>
      <c r="BP511" s="132"/>
      <c r="BQ511" s="132"/>
      <c r="BR511" s="132"/>
      <c r="BS511" s="132"/>
      <c r="BT511" s="132"/>
      <c r="BU511" s="132"/>
      <c r="BV511" s="132"/>
      <c r="BW511" s="132"/>
      <c r="BX511" s="132"/>
      <c r="BY511" s="132"/>
      <c r="BZ511" s="132"/>
      <c r="CA511" s="132"/>
      <c r="CB511" s="132"/>
      <c r="CC511" s="132"/>
      <c r="CD511" s="132"/>
      <c r="CE511" s="132"/>
      <c r="CF511" s="132"/>
      <c r="CG511" s="140"/>
    </row>
    <row r="512" spans="1:85" s="139" customFormat="1" ht="13.9" customHeight="1" x14ac:dyDescent="0.2">
      <c r="A512" s="184" t="s">
        <v>114</v>
      </c>
      <c r="B512" s="185">
        <v>10</v>
      </c>
      <c r="C512" s="186" t="s">
        <v>115</v>
      </c>
      <c r="D512" s="186" t="s">
        <v>409</v>
      </c>
      <c r="E512" s="187"/>
      <c r="F512" s="187">
        <v>700000000</v>
      </c>
      <c r="G512" s="187"/>
      <c r="H512" s="188" t="s">
        <v>418</v>
      </c>
      <c r="I512" s="189" t="s">
        <v>419</v>
      </c>
      <c r="J512" s="206">
        <v>5</v>
      </c>
      <c r="K512" s="206">
        <v>8</v>
      </c>
      <c r="L512" s="206">
        <v>4</v>
      </c>
      <c r="M512" s="185">
        <f t="shared" si="123"/>
        <v>1</v>
      </c>
      <c r="N512" s="193" t="s">
        <v>420</v>
      </c>
      <c r="O512" s="194" t="s">
        <v>905</v>
      </c>
      <c r="P512" s="195">
        <f t="shared" si="119"/>
        <v>1</v>
      </c>
      <c r="Q512" s="196">
        <f t="shared" si="120"/>
        <v>700000000</v>
      </c>
      <c r="R512" s="196">
        <f t="shared" si="121"/>
        <v>700000000</v>
      </c>
      <c r="S512" s="197" t="s">
        <v>217</v>
      </c>
      <c r="T512" s="193">
        <f t="shared" si="122"/>
        <v>0</v>
      </c>
      <c r="U512" s="198" t="str">
        <f t="shared" si="115"/>
        <v>SUBDIRECCION DE GESTION CONTRACTUAL</v>
      </c>
      <c r="V512" s="185" t="str">
        <f t="shared" si="116"/>
        <v>CO-DC</v>
      </c>
      <c r="W512" s="198" t="str">
        <f t="shared" si="117"/>
        <v>Distrito Capital de Bogotá</v>
      </c>
      <c r="X512" s="199" t="s">
        <v>299</v>
      </c>
      <c r="Y512" s="185">
        <v>2427400</v>
      </c>
      <c r="Z512" s="200" t="s">
        <v>92</v>
      </c>
      <c r="AA512" s="134"/>
      <c r="AB512" s="134"/>
      <c r="AC512" s="134"/>
      <c r="AD512" s="134"/>
      <c r="AE512" s="134"/>
      <c r="AF512" s="134"/>
      <c r="AG512" s="134"/>
      <c r="AH512" s="134"/>
      <c r="AI512" s="134"/>
      <c r="AJ512" s="134"/>
      <c r="AK512" s="134"/>
      <c r="AL512" s="134"/>
      <c r="AM512" s="134"/>
      <c r="AN512" s="134"/>
      <c r="AO512" s="134"/>
      <c r="AP512" s="134"/>
      <c r="AQ512" s="134"/>
      <c r="AR512" s="134"/>
      <c r="AS512" s="134"/>
      <c r="AT512" s="134"/>
      <c r="AU512" s="132"/>
      <c r="AV512" s="132"/>
      <c r="AW512" s="132"/>
      <c r="AX512" s="132"/>
      <c r="AY512" s="132"/>
      <c r="AZ512" s="132"/>
      <c r="BA512" s="132"/>
      <c r="BB512" s="132"/>
      <c r="BC512" s="132"/>
      <c r="BD512" s="132"/>
      <c r="BE512" s="132"/>
      <c r="BF512" s="132"/>
      <c r="BG512" s="132"/>
      <c r="BH512" s="132"/>
      <c r="BI512" s="132"/>
      <c r="BJ512" s="132"/>
      <c r="BK512" s="132"/>
      <c r="BL512" s="132"/>
      <c r="BM512" s="132"/>
      <c r="BN512" s="132"/>
      <c r="BO512" s="132"/>
      <c r="BP512" s="132"/>
      <c r="BQ512" s="132"/>
      <c r="BR512" s="132"/>
      <c r="BS512" s="132"/>
      <c r="BT512" s="132"/>
      <c r="BU512" s="132"/>
      <c r="BV512" s="132"/>
      <c r="BW512" s="132"/>
      <c r="BX512" s="132"/>
      <c r="BY512" s="132"/>
      <c r="BZ512" s="132"/>
      <c r="CA512" s="132"/>
      <c r="CB512" s="132"/>
      <c r="CC512" s="132"/>
      <c r="CD512" s="132"/>
      <c r="CE512" s="132"/>
      <c r="CF512" s="132"/>
      <c r="CG512" s="140"/>
    </row>
    <row r="513" spans="1:85" s="139" customFormat="1" ht="13.9" customHeight="1" x14ac:dyDescent="0.2">
      <c r="A513" s="184" t="s">
        <v>114</v>
      </c>
      <c r="B513" s="185">
        <v>11</v>
      </c>
      <c r="C513" s="186" t="s">
        <v>115</v>
      </c>
      <c r="D513" s="186" t="s">
        <v>409</v>
      </c>
      <c r="E513" s="187"/>
      <c r="F513" s="187">
        <v>150000000</v>
      </c>
      <c r="G513" s="187"/>
      <c r="H513" s="188" t="s">
        <v>582</v>
      </c>
      <c r="I513" s="189" t="s">
        <v>876</v>
      </c>
      <c r="J513" s="206">
        <v>5</v>
      </c>
      <c r="K513" s="206">
        <v>8</v>
      </c>
      <c r="L513" s="206">
        <v>4</v>
      </c>
      <c r="M513" s="185">
        <f t="shared" si="123"/>
        <v>1</v>
      </c>
      <c r="N513" s="193" t="s">
        <v>420</v>
      </c>
      <c r="O513" s="194" t="s">
        <v>905</v>
      </c>
      <c r="P513" s="195">
        <f t="shared" si="119"/>
        <v>1</v>
      </c>
      <c r="Q513" s="196">
        <f t="shared" si="120"/>
        <v>150000000</v>
      </c>
      <c r="R513" s="196">
        <f t="shared" si="121"/>
        <v>150000000</v>
      </c>
      <c r="S513" s="197" t="s">
        <v>217</v>
      </c>
      <c r="T513" s="193">
        <f t="shared" si="122"/>
        <v>0</v>
      </c>
      <c r="U513" s="198" t="str">
        <f t="shared" si="115"/>
        <v>SUBDIRECCION DE GESTION CONTRACTUAL</v>
      </c>
      <c r="V513" s="185" t="str">
        <f t="shared" si="116"/>
        <v>CO-DC</v>
      </c>
      <c r="W513" s="198" t="str">
        <f t="shared" si="117"/>
        <v>Distrito Capital de Bogotá</v>
      </c>
      <c r="X513" s="199" t="s">
        <v>299</v>
      </c>
      <c r="Y513" s="185">
        <v>2427400</v>
      </c>
      <c r="Z513" s="200" t="s">
        <v>92</v>
      </c>
      <c r="AA513" s="134"/>
      <c r="AB513" s="134"/>
      <c r="AC513" s="134"/>
      <c r="AD513" s="134"/>
      <c r="AE513" s="134"/>
      <c r="AF513" s="134"/>
      <c r="AG513" s="134"/>
      <c r="AH513" s="134"/>
      <c r="AI513" s="134"/>
      <c r="AJ513" s="134"/>
      <c r="AK513" s="134"/>
      <c r="AL513" s="134"/>
      <c r="AM513" s="134"/>
      <c r="AN513" s="134"/>
      <c r="AO513" s="134"/>
      <c r="AP513" s="134"/>
      <c r="AQ513" s="134"/>
      <c r="AR513" s="134"/>
      <c r="AS513" s="134"/>
      <c r="AT513" s="134"/>
      <c r="AU513" s="132"/>
      <c r="AV513" s="132"/>
      <c r="AW513" s="132"/>
      <c r="AX513" s="132"/>
      <c r="AY513" s="132"/>
      <c r="AZ513" s="132"/>
      <c r="BA513" s="132"/>
      <c r="BB513" s="132"/>
      <c r="BC513" s="132"/>
      <c r="BD513" s="132"/>
      <c r="BE513" s="132"/>
      <c r="BF513" s="132"/>
      <c r="BG513" s="132"/>
      <c r="BH513" s="132"/>
      <c r="BI513" s="132"/>
      <c r="BJ513" s="132"/>
      <c r="BK513" s="132"/>
      <c r="BL513" s="132"/>
      <c r="BM513" s="132"/>
      <c r="BN513" s="132"/>
      <c r="BO513" s="132"/>
      <c r="BP513" s="132"/>
      <c r="BQ513" s="132"/>
      <c r="BR513" s="132"/>
      <c r="BS513" s="132"/>
      <c r="BT513" s="132"/>
      <c r="BU513" s="132"/>
      <c r="BV513" s="132"/>
      <c r="BW513" s="132"/>
      <c r="BX513" s="132"/>
      <c r="BY513" s="132"/>
      <c r="BZ513" s="132"/>
      <c r="CA513" s="132"/>
      <c r="CB513" s="132"/>
      <c r="CC513" s="132"/>
      <c r="CD513" s="132"/>
      <c r="CE513" s="132"/>
      <c r="CF513" s="132"/>
      <c r="CG513" s="140"/>
    </row>
    <row r="514" spans="1:85" s="139" customFormat="1" ht="13.9" customHeight="1" x14ac:dyDescent="0.2">
      <c r="A514" s="184" t="s">
        <v>114</v>
      </c>
      <c r="B514" s="185">
        <v>12</v>
      </c>
      <c r="C514" s="186" t="s">
        <v>421</v>
      </c>
      <c r="D514" s="186" t="s">
        <v>422</v>
      </c>
      <c r="E514" s="187"/>
      <c r="F514" s="187">
        <f>1748500000-2500000</f>
        <v>1746000000</v>
      </c>
      <c r="G514" s="187"/>
      <c r="H514" s="188">
        <v>80111600</v>
      </c>
      <c r="I514" s="189" t="s">
        <v>423</v>
      </c>
      <c r="J514" s="206">
        <v>1</v>
      </c>
      <c r="K514" s="206">
        <v>1</v>
      </c>
      <c r="L514" s="206">
        <v>12</v>
      </c>
      <c r="M514" s="185">
        <f t="shared" si="123"/>
        <v>1</v>
      </c>
      <c r="N514" s="193" t="s">
        <v>210</v>
      </c>
      <c r="O514" s="194" t="s">
        <v>264</v>
      </c>
      <c r="P514" s="195">
        <f t="shared" si="119"/>
        <v>1</v>
      </c>
      <c r="Q514" s="196">
        <f t="shared" si="120"/>
        <v>1746000000</v>
      </c>
      <c r="R514" s="196">
        <f t="shared" si="121"/>
        <v>1746000000</v>
      </c>
      <c r="S514" s="197" t="s">
        <v>217</v>
      </c>
      <c r="T514" s="193">
        <f t="shared" si="122"/>
        <v>0</v>
      </c>
      <c r="U514" s="198" t="str">
        <f t="shared" si="115"/>
        <v>SUBDIRECCION DE GESTION CONTRACTUAL</v>
      </c>
      <c r="V514" s="185" t="str">
        <f t="shared" si="116"/>
        <v>CO-DC</v>
      </c>
      <c r="W514" s="198" t="str">
        <f t="shared" si="117"/>
        <v>Distrito Capital de Bogotá</v>
      </c>
      <c r="X514" s="199" t="s">
        <v>299</v>
      </c>
      <c r="Y514" s="185">
        <v>2427400</v>
      </c>
      <c r="Z514" s="200" t="s">
        <v>92</v>
      </c>
      <c r="AA514" s="134"/>
      <c r="AB514" s="134"/>
      <c r="AC514" s="134"/>
      <c r="AD514" s="134"/>
      <c r="AE514" s="134"/>
      <c r="AF514" s="134"/>
      <c r="AG514" s="134"/>
      <c r="AH514" s="134"/>
      <c r="AI514" s="134"/>
      <c r="AJ514" s="134"/>
      <c r="AK514" s="134"/>
      <c r="AL514" s="134"/>
      <c r="AM514" s="134"/>
      <c r="AN514" s="134"/>
      <c r="AO514" s="134"/>
      <c r="AP514" s="134"/>
      <c r="AQ514" s="134"/>
      <c r="AR514" s="134"/>
      <c r="AS514" s="134"/>
      <c r="AT514" s="134"/>
      <c r="AU514" s="132"/>
      <c r="AV514" s="132"/>
      <c r="AW514" s="132"/>
      <c r="AX514" s="132"/>
      <c r="AY514" s="132"/>
      <c r="AZ514" s="132"/>
      <c r="BA514" s="132"/>
      <c r="BB514" s="132"/>
      <c r="BC514" s="132"/>
      <c r="BD514" s="132"/>
      <c r="BE514" s="132"/>
      <c r="BF514" s="132"/>
      <c r="BG514" s="132"/>
      <c r="BH514" s="132"/>
      <c r="BI514" s="132"/>
      <c r="BJ514" s="132"/>
      <c r="BK514" s="132"/>
      <c r="BL514" s="132"/>
      <c r="BM514" s="132"/>
      <c r="BN514" s="132"/>
      <c r="BO514" s="132"/>
      <c r="BP514" s="132"/>
      <c r="BQ514" s="132"/>
      <c r="BR514" s="132"/>
      <c r="BS514" s="132"/>
      <c r="BT514" s="132"/>
      <c r="BU514" s="132"/>
      <c r="BV514" s="132"/>
      <c r="BW514" s="132"/>
      <c r="BX514" s="132"/>
      <c r="BY514" s="132"/>
      <c r="BZ514" s="132"/>
      <c r="CA514" s="132"/>
      <c r="CB514" s="132"/>
      <c r="CC514" s="132"/>
      <c r="CD514" s="132"/>
      <c r="CE514" s="132"/>
      <c r="CF514" s="132"/>
      <c r="CG514" s="140"/>
    </row>
    <row r="515" spans="1:85" s="139" customFormat="1" ht="13.9" customHeight="1" x14ac:dyDescent="0.2">
      <c r="A515" s="184" t="s">
        <v>114</v>
      </c>
      <c r="B515" s="185">
        <v>13</v>
      </c>
      <c r="C515" s="186" t="s">
        <v>421</v>
      </c>
      <c r="D515" s="186" t="s">
        <v>422</v>
      </c>
      <c r="E515" s="187"/>
      <c r="F515" s="187">
        <v>196000000</v>
      </c>
      <c r="G515" s="187"/>
      <c r="H515" s="188" t="s">
        <v>424</v>
      </c>
      <c r="I515" s="189" t="s">
        <v>412</v>
      </c>
      <c r="J515" s="206">
        <v>6</v>
      </c>
      <c r="K515" s="206">
        <v>7</v>
      </c>
      <c r="L515" s="206">
        <v>4</v>
      </c>
      <c r="M515" s="185">
        <f t="shared" si="123"/>
        <v>1</v>
      </c>
      <c r="N515" s="193" t="s">
        <v>53</v>
      </c>
      <c r="O515" s="194" t="s">
        <v>54</v>
      </c>
      <c r="P515" s="195">
        <f t="shared" si="119"/>
        <v>1</v>
      </c>
      <c r="Q515" s="196">
        <f t="shared" si="120"/>
        <v>196000000</v>
      </c>
      <c r="R515" s="196">
        <f t="shared" si="121"/>
        <v>196000000</v>
      </c>
      <c r="S515" s="197" t="s">
        <v>217</v>
      </c>
      <c r="T515" s="193">
        <f t="shared" si="122"/>
        <v>0</v>
      </c>
      <c r="U515" s="198" t="str">
        <f t="shared" si="115"/>
        <v>SUBDIRECCION DE GESTION CONTRACTUAL</v>
      </c>
      <c r="V515" s="185" t="str">
        <f t="shared" si="116"/>
        <v>CO-DC</v>
      </c>
      <c r="W515" s="198" t="str">
        <f t="shared" si="117"/>
        <v>Distrito Capital de Bogotá</v>
      </c>
      <c r="X515" s="199" t="s">
        <v>299</v>
      </c>
      <c r="Y515" s="185">
        <v>2427400</v>
      </c>
      <c r="Z515" s="200" t="s">
        <v>92</v>
      </c>
      <c r="AA515" s="134"/>
      <c r="AB515" s="134"/>
      <c r="AC515" s="134"/>
      <c r="AD515" s="134"/>
      <c r="AE515" s="134"/>
      <c r="AF515" s="134"/>
      <c r="AG515" s="134"/>
      <c r="AH515" s="134"/>
      <c r="AI515" s="134"/>
      <c r="AJ515" s="134"/>
      <c r="AK515" s="134"/>
      <c r="AL515" s="134"/>
      <c r="AM515" s="134"/>
      <c r="AN515" s="134"/>
      <c r="AO515" s="134"/>
      <c r="AP515" s="134"/>
      <c r="AQ515" s="134"/>
      <c r="AR515" s="134"/>
      <c r="AS515" s="134"/>
      <c r="AT515" s="134"/>
      <c r="AU515" s="132"/>
      <c r="AV515" s="132"/>
      <c r="AW515" s="132"/>
      <c r="AX515" s="132"/>
      <c r="AY515" s="132"/>
      <c r="AZ515" s="132"/>
      <c r="BA515" s="132"/>
      <c r="BB515" s="132"/>
      <c r="BC515" s="132"/>
      <c r="BD515" s="132"/>
      <c r="BE515" s="132"/>
      <c r="BF515" s="132"/>
      <c r="BG515" s="132"/>
      <c r="BH515" s="132"/>
      <c r="BI515" s="132"/>
      <c r="BJ515" s="132"/>
      <c r="BK515" s="132"/>
      <c r="BL515" s="132"/>
      <c r="BM515" s="132"/>
      <c r="BN515" s="132"/>
      <c r="BO515" s="132"/>
      <c r="BP515" s="132"/>
      <c r="BQ515" s="132"/>
      <c r="BR515" s="132"/>
      <c r="BS515" s="132"/>
      <c r="BT515" s="132"/>
      <c r="BU515" s="132"/>
      <c r="BV515" s="132"/>
      <c r="BW515" s="132"/>
      <c r="BX515" s="132"/>
      <c r="BY515" s="132"/>
      <c r="BZ515" s="132"/>
      <c r="CA515" s="132"/>
      <c r="CB515" s="132"/>
      <c r="CC515" s="132"/>
      <c r="CD515" s="132"/>
      <c r="CE515" s="132"/>
      <c r="CF515" s="132"/>
      <c r="CG515" s="140"/>
    </row>
    <row r="516" spans="1:85" s="139" customFormat="1" ht="13.9" customHeight="1" x14ac:dyDescent="0.25">
      <c r="A516" s="184" t="s">
        <v>114</v>
      </c>
      <c r="B516" s="185">
        <v>14</v>
      </c>
      <c r="C516" s="186" t="s">
        <v>421</v>
      </c>
      <c r="D516" s="186" t="s">
        <v>422</v>
      </c>
      <c r="E516" s="187"/>
      <c r="F516" s="187">
        <f>55500000+2500000</f>
        <v>58000000</v>
      </c>
      <c r="G516" s="187"/>
      <c r="H516" s="188" t="s">
        <v>119</v>
      </c>
      <c r="I516" s="205" t="s">
        <v>837</v>
      </c>
      <c r="J516" s="206">
        <v>3</v>
      </c>
      <c r="K516" s="206">
        <v>4</v>
      </c>
      <c r="L516" s="206">
        <v>8</v>
      </c>
      <c r="M516" s="185">
        <f t="shared" si="123"/>
        <v>1</v>
      </c>
      <c r="N516" s="193" t="s">
        <v>48</v>
      </c>
      <c r="O516" s="194" t="s">
        <v>49</v>
      </c>
      <c r="P516" s="195">
        <f t="shared" si="119"/>
        <v>1</v>
      </c>
      <c r="Q516" s="196">
        <f t="shared" si="120"/>
        <v>58000000</v>
      </c>
      <c r="R516" s="196">
        <f t="shared" si="121"/>
        <v>58000000</v>
      </c>
      <c r="S516" s="197" t="s">
        <v>217</v>
      </c>
      <c r="T516" s="193">
        <f t="shared" si="122"/>
        <v>0</v>
      </c>
      <c r="U516" s="198" t="str">
        <f t="shared" si="115"/>
        <v>SUBDIRECCION DE GESTION CONTRACTUAL</v>
      </c>
      <c r="V516" s="185" t="str">
        <f t="shared" si="116"/>
        <v>CO-DC</v>
      </c>
      <c r="W516" s="198" t="str">
        <f t="shared" si="117"/>
        <v>Distrito Capital de Bogotá</v>
      </c>
      <c r="X516" s="199" t="s">
        <v>807</v>
      </c>
      <c r="Y516" s="185">
        <v>2427400</v>
      </c>
      <c r="Z516" s="125" t="s">
        <v>808</v>
      </c>
      <c r="AA516" s="134"/>
      <c r="AB516" s="134"/>
      <c r="AC516" s="134"/>
      <c r="AD516" s="134"/>
      <c r="AE516" s="134"/>
      <c r="AF516" s="134"/>
      <c r="AG516" s="134"/>
      <c r="AH516" s="134"/>
      <c r="AI516" s="134"/>
      <c r="AJ516" s="134"/>
      <c r="AK516" s="134"/>
      <c r="AL516" s="134"/>
      <c r="AM516" s="134"/>
      <c r="AN516" s="134"/>
      <c r="AO516" s="134"/>
      <c r="AP516" s="134"/>
      <c r="AQ516" s="134"/>
      <c r="AR516" s="134"/>
      <c r="AS516" s="134"/>
      <c r="AT516" s="134"/>
      <c r="AU516" s="132"/>
      <c r="AV516" s="132"/>
      <c r="AW516" s="132"/>
      <c r="AX516" s="132"/>
      <c r="AY516" s="132"/>
      <c r="AZ516" s="132"/>
      <c r="BA516" s="132"/>
      <c r="BB516" s="132"/>
      <c r="BC516" s="132"/>
      <c r="BD516" s="132"/>
      <c r="BE516" s="132"/>
      <c r="BF516" s="132"/>
      <c r="BG516" s="132"/>
      <c r="BH516" s="132"/>
      <c r="BI516" s="132"/>
      <c r="BJ516" s="132"/>
      <c r="BK516" s="132"/>
      <c r="BL516" s="132"/>
      <c r="BM516" s="132"/>
      <c r="BN516" s="132"/>
      <c r="BO516" s="132"/>
      <c r="BP516" s="132"/>
      <c r="BQ516" s="132"/>
      <c r="BR516" s="132"/>
      <c r="BS516" s="132"/>
      <c r="BT516" s="132"/>
      <c r="BU516" s="132"/>
      <c r="BV516" s="132"/>
      <c r="BW516" s="132"/>
      <c r="BX516" s="132"/>
      <c r="BY516" s="132"/>
      <c r="BZ516" s="132"/>
      <c r="CA516" s="132"/>
      <c r="CB516" s="132"/>
      <c r="CC516" s="132"/>
      <c r="CD516" s="132"/>
      <c r="CE516" s="132"/>
      <c r="CF516" s="132"/>
      <c r="CG516" s="140"/>
    </row>
    <row r="517" spans="1:85" s="139" customFormat="1" ht="13.9" customHeight="1" x14ac:dyDescent="0.2">
      <c r="A517" s="184" t="s">
        <v>114</v>
      </c>
      <c r="B517" s="185">
        <v>15</v>
      </c>
      <c r="C517" s="186" t="s">
        <v>425</v>
      </c>
      <c r="D517" s="186" t="s">
        <v>426</v>
      </c>
      <c r="E517" s="187"/>
      <c r="F517" s="187">
        <f>828166666-6461359</f>
        <v>821705307</v>
      </c>
      <c r="G517" s="187"/>
      <c r="H517" s="188">
        <v>80111600</v>
      </c>
      <c r="I517" s="189" t="s">
        <v>427</v>
      </c>
      <c r="J517" s="206">
        <v>1</v>
      </c>
      <c r="K517" s="206">
        <v>1</v>
      </c>
      <c r="L517" s="206">
        <v>12</v>
      </c>
      <c r="M517" s="185">
        <f t="shared" si="123"/>
        <v>1</v>
      </c>
      <c r="N517" s="193" t="s">
        <v>210</v>
      </c>
      <c r="O517" s="194" t="s">
        <v>264</v>
      </c>
      <c r="P517" s="195">
        <f t="shared" si="119"/>
        <v>1</v>
      </c>
      <c r="Q517" s="196">
        <f t="shared" si="120"/>
        <v>821705307</v>
      </c>
      <c r="R517" s="196">
        <f t="shared" si="121"/>
        <v>821705307</v>
      </c>
      <c r="S517" s="197" t="s">
        <v>217</v>
      </c>
      <c r="T517" s="193">
        <f t="shared" si="122"/>
        <v>0</v>
      </c>
      <c r="U517" s="198" t="str">
        <f t="shared" si="115"/>
        <v>SUBDIRECCION DE GESTION CONTRACTUAL</v>
      </c>
      <c r="V517" s="185" t="str">
        <f t="shared" si="116"/>
        <v>CO-DC</v>
      </c>
      <c r="W517" s="198" t="str">
        <f t="shared" si="117"/>
        <v>Distrito Capital de Bogotá</v>
      </c>
      <c r="X517" s="199" t="s">
        <v>897</v>
      </c>
      <c r="Y517" s="185">
        <v>2427400</v>
      </c>
      <c r="Z517" s="200" t="s">
        <v>885</v>
      </c>
      <c r="AA517" s="134"/>
      <c r="AB517" s="134"/>
      <c r="AC517" s="134"/>
      <c r="AD517" s="134"/>
      <c r="AE517" s="134"/>
      <c r="AF517" s="134"/>
      <c r="AG517" s="134"/>
      <c r="AH517" s="134"/>
      <c r="AI517" s="134"/>
      <c r="AJ517" s="134"/>
      <c r="AK517" s="134"/>
      <c r="AL517" s="134"/>
      <c r="AM517" s="134"/>
      <c r="AN517" s="134"/>
      <c r="AO517" s="134"/>
      <c r="AP517" s="134"/>
      <c r="AQ517" s="134"/>
      <c r="AR517" s="134"/>
      <c r="AS517" s="134"/>
      <c r="AT517" s="134"/>
      <c r="AU517" s="132"/>
      <c r="AV517" s="132"/>
      <c r="AW517" s="132"/>
      <c r="AX517" s="132"/>
      <c r="AY517" s="132"/>
      <c r="AZ517" s="132"/>
      <c r="BA517" s="132"/>
      <c r="BB517" s="132"/>
      <c r="BC517" s="132"/>
      <c r="BD517" s="132"/>
      <c r="BE517" s="132"/>
      <c r="BF517" s="132"/>
      <c r="BG517" s="132"/>
      <c r="BH517" s="132"/>
      <c r="BI517" s="132"/>
      <c r="BJ517" s="132"/>
      <c r="BK517" s="132"/>
      <c r="BL517" s="132"/>
      <c r="BM517" s="132"/>
      <c r="BN517" s="132"/>
      <c r="BO517" s="132"/>
      <c r="BP517" s="132"/>
      <c r="BQ517" s="132"/>
      <c r="BR517" s="132"/>
      <c r="BS517" s="132"/>
      <c r="BT517" s="132"/>
      <c r="BU517" s="132"/>
      <c r="BV517" s="132"/>
      <c r="BW517" s="132"/>
      <c r="BX517" s="132"/>
      <c r="BY517" s="132"/>
      <c r="BZ517" s="132"/>
      <c r="CA517" s="132"/>
      <c r="CB517" s="132"/>
      <c r="CC517" s="132"/>
      <c r="CD517" s="132"/>
      <c r="CE517" s="132"/>
      <c r="CF517" s="132"/>
      <c r="CG517" s="140"/>
    </row>
    <row r="518" spans="1:85" s="139" customFormat="1" ht="13.9" customHeight="1" x14ac:dyDescent="0.2">
      <c r="A518" s="184" t="s">
        <v>114</v>
      </c>
      <c r="B518" s="185">
        <v>16</v>
      </c>
      <c r="C518" s="186" t="s">
        <v>425</v>
      </c>
      <c r="D518" s="186" t="s">
        <v>426</v>
      </c>
      <c r="E518" s="187"/>
      <c r="F518" s="187">
        <v>80000000</v>
      </c>
      <c r="G518" s="187"/>
      <c r="H518" s="188" t="s">
        <v>710</v>
      </c>
      <c r="I518" s="189" t="s">
        <v>583</v>
      </c>
      <c r="J518" s="206">
        <v>2</v>
      </c>
      <c r="K518" s="206">
        <v>3</v>
      </c>
      <c r="L518" s="206">
        <v>9</v>
      </c>
      <c r="M518" s="185">
        <f t="shared" si="123"/>
        <v>1</v>
      </c>
      <c r="N518" s="193" t="s">
        <v>221</v>
      </c>
      <c r="O518" s="194" t="s">
        <v>903</v>
      </c>
      <c r="P518" s="195">
        <f t="shared" si="119"/>
        <v>1</v>
      </c>
      <c r="Q518" s="196">
        <f t="shared" si="120"/>
        <v>80000000</v>
      </c>
      <c r="R518" s="196">
        <f t="shared" si="121"/>
        <v>80000000</v>
      </c>
      <c r="S518" s="197" t="s">
        <v>217</v>
      </c>
      <c r="T518" s="193">
        <f t="shared" si="122"/>
        <v>0</v>
      </c>
      <c r="U518" s="198" t="str">
        <f t="shared" si="115"/>
        <v>SUBDIRECCION DE GESTION CONTRACTUAL</v>
      </c>
      <c r="V518" s="185" t="str">
        <f t="shared" si="116"/>
        <v>CO-DC</v>
      </c>
      <c r="W518" s="198" t="str">
        <f t="shared" si="117"/>
        <v>Distrito Capital de Bogotá</v>
      </c>
      <c r="X518" s="199" t="s">
        <v>299</v>
      </c>
      <c r="Y518" s="185">
        <v>2427400</v>
      </c>
      <c r="Z518" s="200" t="s">
        <v>92</v>
      </c>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2"/>
      <c r="AV518" s="132"/>
      <c r="AW518" s="132"/>
      <c r="AX518" s="132"/>
      <c r="AY518" s="132"/>
      <c r="AZ518" s="132"/>
      <c r="BA518" s="132"/>
      <c r="BB518" s="132"/>
      <c r="BC518" s="132"/>
      <c r="BD518" s="132"/>
      <c r="BE518" s="132"/>
      <c r="BF518" s="132"/>
      <c r="BG518" s="132"/>
      <c r="BH518" s="132"/>
      <c r="BI518" s="132"/>
      <c r="BJ518" s="132"/>
      <c r="BK518" s="132"/>
      <c r="BL518" s="132"/>
      <c r="BM518" s="132"/>
      <c r="BN518" s="132"/>
      <c r="BO518" s="132"/>
      <c r="BP518" s="132"/>
      <c r="BQ518" s="132"/>
      <c r="BR518" s="132"/>
      <c r="BS518" s="132"/>
      <c r="BT518" s="132"/>
      <c r="BU518" s="132"/>
      <c r="BV518" s="132"/>
      <c r="BW518" s="132"/>
      <c r="BX518" s="132"/>
      <c r="BY518" s="132"/>
      <c r="BZ518" s="132"/>
      <c r="CA518" s="132"/>
      <c r="CB518" s="132"/>
      <c r="CC518" s="132"/>
      <c r="CD518" s="132"/>
      <c r="CE518" s="132"/>
      <c r="CF518" s="132"/>
      <c r="CG518" s="140"/>
    </row>
    <row r="519" spans="1:85" s="139" customFormat="1" ht="13.9" customHeight="1" x14ac:dyDescent="0.2">
      <c r="A519" s="184" t="s">
        <v>114</v>
      </c>
      <c r="B519" s="185">
        <v>17</v>
      </c>
      <c r="C519" s="186" t="s">
        <v>425</v>
      </c>
      <c r="D519" s="186" t="s">
        <v>426</v>
      </c>
      <c r="E519" s="187"/>
      <c r="F519" s="187">
        <f>20000000+6461359</f>
        <v>26461359</v>
      </c>
      <c r="G519" s="187"/>
      <c r="H519" s="188" t="s">
        <v>1027</v>
      </c>
      <c r="I519" s="189" t="s">
        <v>1028</v>
      </c>
      <c r="J519" s="206">
        <v>8</v>
      </c>
      <c r="K519" s="206">
        <v>8</v>
      </c>
      <c r="L519" s="206">
        <v>3</v>
      </c>
      <c r="M519" s="185">
        <f t="shared" si="123"/>
        <v>1</v>
      </c>
      <c r="N519" s="193" t="s">
        <v>48</v>
      </c>
      <c r="O519" s="194" t="s">
        <v>49</v>
      </c>
      <c r="P519" s="195">
        <f t="shared" si="119"/>
        <v>1</v>
      </c>
      <c r="Q519" s="196">
        <f t="shared" si="120"/>
        <v>26461359</v>
      </c>
      <c r="R519" s="196">
        <f t="shared" si="121"/>
        <v>26461359</v>
      </c>
      <c r="S519" s="197" t="s">
        <v>217</v>
      </c>
      <c r="T519" s="193">
        <f t="shared" si="122"/>
        <v>0</v>
      </c>
      <c r="U519" s="198" t="str">
        <f t="shared" si="115"/>
        <v>SUBDIRECCION DE GESTION CONTRACTUAL</v>
      </c>
      <c r="V519" s="185" t="str">
        <f t="shared" si="116"/>
        <v>CO-DC</v>
      </c>
      <c r="W519" s="198" t="str">
        <f t="shared" si="117"/>
        <v>Distrito Capital de Bogotá</v>
      </c>
      <c r="X519" s="199" t="s">
        <v>897</v>
      </c>
      <c r="Y519" s="185">
        <v>2427400</v>
      </c>
      <c r="Z519" s="200" t="s">
        <v>885</v>
      </c>
      <c r="AA519" s="134"/>
      <c r="AB519" s="134"/>
      <c r="AC519" s="134"/>
      <c r="AD519" s="134"/>
      <c r="AE519" s="134"/>
      <c r="AF519" s="134"/>
      <c r="AG519" s="134"/>
      <c r="AH519" s="134"/>
      <c r="AI519" s="134"/>
      <c r="AJ519" s="134"/>
      <c r="AK519" s="134"/>
      <c r="AL519" s="134"/>
      <c r="AM519" s="134"/>
      <c r="AN519" s="134"/>
      <c r="AO519" s="134"/>
      <c r="AP519" s="134"/>
      <c r="AQ519" s="134"/>
      <c r="AR519" s="134"/>
      <c r="AS519" s="134"/>
      <c r="AT519" s="134"/>
      <c r="AU519" s="132"/>
      <c r="AV519" s="132"/>
      <c r="AW519" s="132"/>
      <c r="AX519" s="132"/>
      <c r="AY519" s="132"/>
      <c r="AZ519" s="132"/>
      <c r="BA519" s="132"/>
      <c r="BB519" s="132"/>
      <c r="BC519" s="132"/>
      <c r="BD519" s="132"/>
      <c r="BE519" s="132"/>
      <c r="BF519" s="132"/>
      <c r="BG519" s="132"/>
      <c r="BH519" s="132"/>
      <c r="BI519" s="132"/>
      <c r="BJ519" s="132"/>
      <c r="BK519" s="132"/>
      <c r="BL519" s="132"/>
      <c r="BM519" s="132"/>
      <c r="BN519" s="132"/>
      <c r="BO519" s="132"/>
      <c r="BP519" s="132"/>
      <c r="BQ519" s="132"/>
      <c r="BR519" s="132"/>
      <c r="BS519" s="132"/>
      <c r="BT519" s="132"/>
      <c r="BU519" s="132"/>
      <c r="BV519" s="132"/>
      <c r="BW519" s="132"/>
      <c r="BX519" s="132"/>
      <c r="BY519" s="132"/>
      <c r="BZ519" s="132"/>
      <c r="CA519" s="132"/>
      <c r="CB519" s="132"/>
      <c r="CC519" s="132"/>
      <c r="CD519" s="132"/>
      <c r="CE519" s="132"/>
      <c r="CF519" s="132"/>
      <c r="CG519" s="140"/>
    </row>
    <row r="520" spans="1:85" s="139" customFormat="1" ht="13.9" customHeight="1" x14ac:dyDescent="0.2">
      <c r="A520" s="184" t="s">
        <v>114</v>
      </c>
      <c r="B520" s="185">
        <v>18</v>
      </c>
      <c r="C520" s="186" t="s">
        <v>115</v>
      </c>
      <c r="D520" s="186" t="s">
        <v>120</v>
      </c>
      <c r="E520" s="187"/>
      <c r="F520" s="187">
        <v>8000000</v>
      </c>
      <c r="G520" s="187"/>
      <c r="H520" s="188">
        <v>81112200</v>
      </c>
      <c r="I520" s="189" t="s">
        <v>428</v>
      </c>
      <c r="J520" s="206">
        <v>5</v>
      </c>
      <c r="K520" s="206">
        <v>6</v>
      </c>
      <c r="L520" s="206">
        <v>2</v>
      </c>
      <c r="M520" s="185">
        <f t="shared" si="123"/>
        <v>1</v>
      </c>
      <c r="N520" s="193" t="s">
        <v>210</v>
      </c>
      <c r="O520" s="194" t="s">
        <v>264</v>
      </c>
      <c r="P520" s="195">
        <f t="shared" si="119"/>
        <v>1</v>
      </c>
      <c r="Q520" s="196">
        <f t="shared" si="120"/>
        <v>8000000</v>
      </c>
      <c r="R520" s="196">
        <f t="shared" si="121"/>
        <v>8000000</v>
      </c>
      <c r="S520" s="197" t="s">
        <v>217</v>
      </c>
      <c r="T520" s="193">
        <f t="shared" si="122"/>
        <v>0</v>
      </c>
      <c r="U520" s="198" t="str">
        <f t="shared" si="115"/>
        <v>SUBDIRECCION DE GESTION CONTRACTUAL</v>
      </c>
      <c r="V520" s="185" t="str">
        <f t="shared" si="116"/>
        <v>CO-DC</v>
      </c>
      <c r="W520" s="198" t="str">
        <f t="shared" si="117"/>
        <v>Distrito Capital de Bogotá</v>
      </c>
      <c r="X520" s="199" t="s">
        <v>299</v>
      </c>
      <c r="Y520" s="185">
        <v>2427400</v>
      </c>
      <c r="Z520" s="200" t="s">
        <v>92</v>
      </c>
      <c r="AA520" s="134"/>
      <c r="AB520" s="134"/>
      <c r="AC520" s="134"/>
      <c r="AD520" s="134"/>
      <c r="AE520" s="134"/>
      <c r="AF520" s="134"/>
      <c r="AG520" s="134"/>
      <c r="AH520" s="134"/>
      <c r="AI520" s="134"/>
      <c r="AJ520" s="134"/>
      <c r="AK520" s="134"/>
      <c r="AL520" s="134"/>
      <c r="AM520" s="134"/>
      <c r="AN520" s="134"/>
      <c r="AO520" s="134"/>
      <c r="AP520" s="134"/>
      <c r="AQ520" s="134"/>
      <c r="AR520" s="134"/>
      <c r="AS520" s="134"/>
      <c r="AT520" s="134"/>
      <c r="AU520" s="132"/>
      <c r="AV520" s="132"/>
      <c r="AW520" s="132"/>
      <c r="AX520" s="132"/>
      <c r="AY520" s="132"/>
      <c r="AZ520" s="132"/>
      <c r="BA520" s="132"/>
      <c r="BB520" s="132"/>
      <c r="BC520" s="132"/>
      <c r="BD520" s="132"/>
      <c r="BE520" s="132"/>
      <c r="BF520" s="132"/>
      <c r="BG520" s="132"/>
      <c r="BH520" s="132"/>
      <c r="BI520" s="132"/>
      <c r="BJ520" s="132"/>
      <c r="BK520" s="132"/>
      <c r="BL520" s="132"/>
      <c r="BM520" s="132"/>
      <c r="BN520" s="132"/>
      <c r="BO520" s="132"/>
      <c r="BP520" s="132"/>
      <c r="BQ520" s="132"/>
      <c r="BR520" s="132"/>
      <c r="BS520" s="132"/>
      <c r="BT520" s="132"/>
      <c r="BU520" s="132"/>
      <c r="BV520" s="132"/>
      <c r="BW520" s="132"/>
      <c r="BX520" s="132"/>
      <c r="BY520" s="132"/>
      <c r="BZ520" s="132"/>
      <c r="CA520" s="132"/>
      <c r="CB520" s="132"/>
      <c r="CC520" s="132"/>
      <c r="CD520" s="132"/>
      <c r="CE520" s="132"/>
      <c r="CF520" s="132"/>
      <c r="CG520" s="140"/>
    </row>
    <row r="521" spans="1:85" s="139" customFormat="1" ht="13.9" customHeight="1" x14ac:dyDescent="0.25">
      <c r="A521" s="184" t="s">
        <v>114</v>
      </c>
      <c r="B521" s="185">
        <v>19</v>
      </c>
      <c r="C521" s="186" t="s">
        <v>115</v>
      </c>
      <c r="D521" s="186" t="s">
        <v>59</v>
      </c>
      <c r="E521" s="187"/>
      <c r="F521" s="187">
        <v>35000000</v>
      </c>
      <c r="G521" s="187"/>
      <c r="H521" s="188" t="s">
        <v>118</v>
      </c>
      <c r="I521" s="189" t="s">
        <v>814</v>
      </c>
      <c r="J521" s="206">
        <v>6</v>
      </c>
      <c r="K521" s="206">
        <v>8</v>
      </c>
      <c r="L521" s="206">
        <v>12</v>
      </c>
      <c r="M521" s="185">
        <f t="shared" si="123"/>
        <v>1</v>
      </c>
      <c r="N521" s="193" t="s">
        <v>53</v>
      </c>
      <c r="O521" s="194" t="s">
        <v>54</v>
      </c>
      <c r="P521" s="195">
        <f t="shared" si="119"/>
        <v>1</v>
      </c>
      <c r="Q521" s="196">
        <f t="shared" si="120"/>
        <v>35000000</v>
      </c>
      <c r="R521" s="196">
        <f t="shared" si="121"/>
        <v>35000000</v>
      </c>
      <c r="S521" s="197" t="s">
        <v>218</v>
      </c>
      <c r="T521" s="193">
        <f t="shared" si="122"/>
        <v>3</v>
      </c>
      <c r="U521" s="198" t="str">
        <f t="shared" si="115"/>
        <v>SUBDIRECCION DE GESTION CONTRACTUAL</v>
      </c>
      <c r="V521" s="185" t="str">
        <f t="shared" si="116"/>
        <v>CO-DC</v>
      </c>
      <c r="W521" s="198" t="str">
        <f t="shared" si="117"/>
        <v>Distrito Capital de Bogotá</v>
      </c>
      <c r="X521" s="199" t="s">
        <v>807</v>
      </c>
      <c r="Y521" s="185">
        <v>2427400</v>
      </c>
      <c r="Z521" s="125" t="s">
        <v>808</v>
      </c>
      <c r="AA521" s="134"/>
      <c r="AB521" s="134"/>
      <c r="AC521" s="134"/>
      <c r="AD521" s="134"/>
      <c r="AE521" s="134"/>
      <c r="AF521" s="134"/>
      <c r="AG521" s="134"/>
      <c r="AH521" s="134"/>
      <c r="AI521" s="134"/>
      <c r="AJ521" s="134"/>
      <c r="AK521" s="134"/>
      <c r="AL521" s="134"/>
      <c r="AM521" s="134"/>
      <c r="AN521" s="134"/>
      <c r="AO521" s="134"/>
      <c r="AP521" s="134"/>
      <c r="AQ521" s="134"/>
      <c r="AR521" s="134"/>
      <c r="AS521" s="134"/>
      <c r="AT521" s="134"/>
      <c r="AU521" s="132"/>
      <c r="AV521" s="132"/>
      <c r="AW521" s="132"/>
      <c r="AX521" s="132"/>
      <c r="AY521" s="132"/>
      <c r="AZ521" s="132"/>
      <c r="BA521" s="132"/>
      <c r="BB521" s="132"/>
      <c r="BC521" s="132"/>
      <c r="BD521" s="132"/>
      <c r="BE521" s="132"/>
      <c r="BF521" s="132"/>
      <c r="BG521" s="132"/>
      <c r="BH521" s="132"/>
      <c r="BI521" s="132"/>
      <c r="BJ521" s="132"/>
      <c r="BK521" s="132"/>
      <c r="BL521" s="132"/>
      <c r="BM521" s="132"/>
      <c r="BN521" s="132"/>
      <c r="BO521" s="132"/>
      <c r="BP521" s="132"/>
      <c r="BQ521" s="132"/>
      <c r="BR521" s="132"/>
      <c r="BS521" s="132"/>
      <c r="BT521" s="132"/>
      <c r="BU521" s="132"/>
      <c r="BV521" s="132"/>
      <c r="BW521" s="132"/>
      <c r="BX521" s="132"/>
      <c r="BY521" s="132"/>
      <c r="BZ521" s="132"/>
      <c r="CA521" s="132"/>
      <c r="CB521" s="132"/>
      <c r="CC521" s="132"/>
      <c r="CD521" s="132"/>
      <c r="CE521" s="132"/>
      <c r="CF521" s="132"/>
      <c r="CG521" s="140"/>
    </row>
    <row r="522" spans="1:85" s="139" customFormat="1" ht="13.9" customHeight="1" x14ac:dyDescent="0.25">
      <c r="A522" s="184" t="s">
        <v>114</v>
      </c>
      <c r="B522" s="185">
        <v>20</v>
      </c>
      <c r="C522" s="186" t="s">
        <v>115</v>
      </c>
      <c r="D522" s="186" t="s">
        <v>57</v>
      </c>
      <c r="E522" s="187"/>
      <c r="F522" s="187">
        <v>70000000</v>
      </c>
      <c r="G522" s="187"/>
      <c r="H522" s="188" t="s">
        <v>118</v>
      </c>
      <c r="I522" s="189" t="s">
        <v>815</v>
      </c>
      <c r="J522" s="206">
        <v>6</v>
      </c>
      <c r="K522" s="206">
        <v>8</v>
      </c>
      <c r="L522" s="206">
        <v>12</v>
      </c>
      <c r="M522" s="185">
        <f t="shared" si="123"/>
        <v>1</v>
      </c>
      <c r="N522" s="193" t="s">
        <v>53</v>
      </c>
      <c r="O522" s="194" t="s">
        <v>54</v>
      </c>
      <c r="P522" s="195">
        <f t="shared" si="119"/>
        <v>1</v>
      </c>
      <c r="Q522" s="196">
        <f t="shared" si="120"/>
        <v>70000000</v>
      </c>
      <c r="R522" s="196">
        <f t="shared" si="121"/>
        <v>70000000</v>
      </c>
      <c r="S522" s="197" t="s">
        <v>218</v>
      </c>
      <c r="T522" s="193">
        <f t="shared" si="122"/>
        <v>3</v>
      </c>
      <c r="U522" s="198" t="str">
        <f t="shared" si="115"/>
        <v>SUBDIRECCION DE GESTION CONTRACTUAL</v>
      </c>
      <c r="V522" s="185" t="str">
        <f t="shared" si="116"/>
        <v>CO-DC</v>
      </c>
      <c r="W522" s="198" t="str">
        <f t="shared" si="117"/>
        <v>Distrito Capital de Bogotá</v>
      </c>
      <c r="X522" s="199" t="s">
        <v>807</v>
      </c>
      <c r="Y522" s="185">
        <v>2427400</v>
      </c>
      <c r="Z522" s="125" t="s">
        <v>808</v>
      </c>
      <c r="AA522" s="134"/>
      <c r="AB522" s="134"/>
      <c r="AC522" s="134"/>
      <c r="AD522" s="134"/>
      <c r="AE522" s="134"/>
      <c r="AF522" s="134"/>
      <c r="AG522" s="134"/>
      <c r="AH522" s="134"/>
      <c r="AI522" s="134"/>
      <c r="AJ522" s="134"/>
      <c r="AK522" s="134"/>
      <c r="AL522" s="134"/>
      <c r="AM522" s="134"/>
      <c r="AN522" s="134"/>
      <c r="AO522" s="134"/>
      <c r="AP522" s="134"/>
      <c r="AQ522" s="134"/>
      <c r="AR522" s="134"/>
      <c r="AS522" s="134"/>
      <c r="AT522" s="134"/>
      <c r="AU522" s="132"/>
      <c r="AV522" s="132"/>
      <c r="AW522" s="132"/>
      <c r="AX522" s="132"/>
      <c r="AY522" s="132"/>
      <c r="AZ522" s="132"/>
      <c r="BA522" s="132"/>
      <c r="BB522" s="132"/>
      <c r="BC522" s="132"/>
      <c r="BD522" s="132"/>
      <c r="BE522" s="132"/>
      <c r="BF522" s="132"/>
      <c r="BG522" s="132"/>
      <c r="BH522" s="132"/>
      <c r="BI522" s="132"/>
      <c r="BJ522" s="132"/>
      <c r="BK522" s="132"/>
      <c r="BL522" s="132"/>
      <c r="BM522" s="132"/>
      <c r="BN522" s="132"/>
      <c r="BO522" s="132"/>
      <c r="BP522" s="132"/>
      <c r="BQ522" s="132"/>
      <c r="BR522" s="132"/>
      <c r="BS522" s="132"/>
      <c r="BT522" s="132"/>
      <c r="BU522" s="132"/>
      <c r="BV522" s="132"/>
      <c r="BW522" s="132"/>
      <c r="BX522" s="132"/>
      <c r="BY522" s="132"/>
      <c r="BZ522" s="132"/>
      <c r="CA522" s="132"/>
      <c r="CB522" s="132"/>
      <c r="CC522" s="132"/>
      <c r="CD522" s="132"/>
      <c r="CE522" s="132"/>
      <c r="CF522" s="132"/>
      <c r="CG522" s="140"/>
    </row>
    <row r="523" spans="1:85" s="139" customFormat="1" ht="13.9" customHeight="1" x14ac:dyDescent="0.2">
      <c r="A523" s="184" t="s">
        <v>114</v>
      </c>
      <c r="B523" s="185">
        <v>21</v>
      </c>
      <c r="C523" s="186" t="s">
        <v>115</v>
      </c>
      <c r="D523" s="186" t="s">
        <v>120</v>
      </c>
      <c r="E523" s="187"/>
      <c r="F523" s="187">
        <v>104381910</v>
      </c>
      <c r="G523" s="187"/>
      <c r="H523" s="188" t="s">
        <v>62</v>
      </c>
      <c r="I523" s="189" t="s">
        <v>562</v>
      </c>
      <c r="J523" s="206">
        <v>1</v>
      </c>
      <c r="K523" s="206">
        <v>1</v>
      </c>
      <c r="L523" s="206">
        <v>10</v>
      </c>
      <c r="M523" s="185">
        <f t="shared" si="123"/>
        <v>1</v>
      </c>
      <c r="N523" s="193" t="s">
        <v>36</v>
      </c>
      <c r="O523" s="194" t="s">
        <v>256</v>
      </c>
      <c r="P523" s="195">
        <f t="shared" si="119"/>
        <v>1</v>
      </c>
      <c r="Q523" s="196">
        <f t="shared" si="120"/>
        <v>104381910</v>
      </c>
      <c r="R523" s="196">
        <f t="shared" si="121"/>
        <v>104381910</v>
      </c>
      <c r="S523" s="197" t="s">
        <v>217</v>
      </c>
      <c r="T523" s="193">
        <f t="shared" si="122"/>
        <v>0</v>
      </c>
      <c r="U523" s="198" t="str">
        <f t="shared" ref="U523:U532" si="124">IF(ISBLANK(N523),"","SUBDIRECCION DE GESTION CONTRACTUAL")</f>
        <v>SUBDIRECCION DE GESTION CONTRACTUAL</v>
      </c>
      <c r="V523" s="185" t="str">
        <f t="shared" ref="V523:V532" si="125">IF(ISBLANK(N523),"","CO-DC")</f>
        <v>CO-DC</v>
      </c>
      <c r="W523" s="198" t="str">
        <f t="shared" ref="W523:W532" si="126">IF(ISBLANK(N523),"","Distrito Capital de Bogotá")</f>
        <v>Distrito Capital de Bogotá</v>
      </c>
      <c r="X523" s="199" t="s">
        <v>299</v>
      </c>
      <c r="Y523" s="185">
        <v>2427400</v>
      </c>
      <c r="Z523" s="200" t="s">
        <v>92</v>
      </c>
      <c r="AA523" s="134"/>
      <c r="AB523" s="134"/>
      <c r="AC523" s="134"/>
      <c r="AD523" s="134"/>
      <c r="AE523" s="134"/>
      <c r="AF523" s="134"/>
      <c r="AG523" s="134"/>
      <c r="AH523" s="134"/>
      <c r="AI523" s="134"/>
      <c r="AJ523" s="134"/>
      <c r="AK523" s="134"/>
      <c r="AL523" s="134"/>
      <c r="AM523" s="134"/>
      <c r="AN523" s="134"/>
      <c r="AO523" s="134"/>
      <c r="AP523" s="134"/>
      <c r="AQ523" s="134"/>
      <c r="AR523" s="134"/>
      <c r="AS523" s="134"/>
      <c r="AT523" s="134"/>
      <c r="AU523" s="132"/>
      <c r="AV523" s="132"/>
      <c r="AW523" s="132"/>
      <c r="AX523" s="132"/>
      <c r="AY523" s="132"/>
      <c r="AZ523" s="132"/>
      <c r="BA523" s="132"/>
      <c r="BB523" s="132"/>
      <c r="BC523" s="132"/>
      <c r="BD523" s="132"/>
      <c r="BE523" s="132"/>
      <c r="BF523" s="132"/>
      <c r="BG523" s="132"/>
      <c r="BH523" s="132"/>
      <c r="BI523" s="132"/>
      <c r="BJ523" s="132"/>
      <c r="BK523" s="132"/>
      <c r="BL523" s="132"/>
      <c r="BM523" s="132"/>
      <c r="BN523" s="132"/>
      <c r="BO523" s="132"/>
      <c r="BP523" s="132"/>
      <c r="BQ523" s="132"/>
      <c r="BR523" s="132"/>
      <c r="BS523" s="132"/>
      <c r="BT523" s="132"/>
      <c r="BU523" s="132"/>
      <c r="BV523" s="132"/>
      <c r="BW523" s="132"/>
      <c r="BX523" s="132"/>
      <c r="BY523" s="132"/>
      <c r="BZ523" s="132"/>
      <c r="CA523" s="132"/>
      <c r="CB523" s="132"/>
      <c r="CC523" s="132"/>
      <c r="CD523" s="132"/>
      <c r="CE523" s="132"/>
      <c r="CF523" s="132"/>
      <c r="CG523" s="140"/>
    </row>
    <row r="524" spans="1:85" s="139" customFormat="1" ht="13.9" customHeight="1" x14ac:dyDescent="0.2">
      <c r="A524" s="184" t="s">
        <v>114</v>
      </c>
      <c r="B524" s="185">
        <v>22</v>
      </c>
      <c r="C524" s="186" t="s">
        <v>115</v>
      </c>
      <c r="D524" s="186" t="s">
        <v>120</v>
      </c>
      <c r="E524" s="187"/>
      <c r="F524" s="187">
        <v>25000000</v>
      </c>
      <c r="G524" s="187"/>
      <c r="H524" s="188">
        <v>81111805</v>
      </c>
      <c r="I524" s="189" t="s">
        <v>429</v>
      </c>
      <c r="J524" s="206">
        <v>1</v>
      </c>
      <c r="K524" s="206">
        <v>1</v>
      </c>
      <c r="L524" s="206">
        <v>10</v>
      </c>
      <c r="M524" s="185">
        <f t="shared" si="123"/>
        <v>1</v>
      </c>
      <c r="N524" s="193" t="s">
        <v>36</v>
      </c>
      <c r="O524" s="194" t="s">
        <v>256</v>
      </c>
      <c r="P524" s="195">
        <f t="shared" si="119"/>
        <v>1</v>
      </c>
      <c r="Q524" s="196">
        <f t="shared" si="120"/>
        <v>25000000</v>
      </c>
      <c r="R524" s="196">
        <f t="shared" si="121"/>
        <v>25000000</v>
      </c>
      <c r="S524" s="197" t="s">
        <v>217</v>
      </c>
      <c r="T524" s="193">
        <f t="shared" si="122"/>
        <v>0</v>
      </c>
      <c r="U524" s="198" t="str">
        <f t="shared" si="124"/>
        <v>SUBDIRECCION DE GESTION CONTRACTUAL</v>
      </c>
      <c r="V524" s="185" t="str">
        <f t="shared" si="125"/>
        <v>CO-DC</v>
      </c>
      <c r="W524" s="198" t="str">
        <f t="shared" si="126"/>
        <v>Distrito Capital de Bogotá</v>
      </c>
      <c r="X524" s="199" t="s">
        <v>299</v>
      </c>
      <c r="Y524" s="185">
        <v>2427400</v>
      </c>
      <c r="Z524" s="200" t="s">
        <v>92</v>
      </c>
      <c r="AA524" s="134"/>
      <c r="AB524" s="134"/>
      <c r="AC524" s="134"/>
      <c r="AD524" s="134"/>
      <c r="AE524" s="134"/>
      <c r="AF524" s="134"/>
      <c r="AG524" s="134"/>
      <c r="AH524" s="134"/>
      <c r="AI524" s="134"/>
      <c r="AJ524" s="134"/>
      <c r="AK524" s="134"/>
      <c r="AL524" s="134"/>
      <c r="AM524" s="134"/>
      <c r="AN524" s="134"/>
      <c r="AO524" s="134"/>
      <c r="AP524" s="134"/>
      <c r="AQ524" s="134"/>
      <c r="AR524" s="134"/>
      <c r="AS524" s="134"/>
      <c r="AT524" s="134"/>
      <c r="AU524" s="132"/>
      <c r="AV524" s="132"/>
      <c r="AW524" s="132"/>
      <c r="AX524" s="132"/>
      <c r="AY524" s="132"/>
      <c r="AZ524" s="132"/>
      <c r="BA524" s="132"/>
      <c r="BB524" s="132"/>
      <c r="BC524" s="132"/>
      <c r="BD524" s="132"/>
      <c r="BE524" s="132"/>
      <c r="BF524" s="132"/>
      <c r="BG524" s="132"/>
      <c r="BH524" s="132"/>
      <c r="BI524" s="132"/>
      <c r="BJ524" s="132"/>
      <c r="BK524" s="132"/>
      <c r="BL524" s="132"/>
      <c r="BM524" s="132"/>
      <c r="BN524" s="132"/>
      <c r="BO524" s="132"/>
      <c r="BP524" s="132"/>
      <c r="BQ524" s="132"/>
      <c r="BR524" s="132"/>
      <c r="BS524" s="132"/>
      <c r="BT524" s="132"/>
      <c r="BU524" s="132"/>
      <c r="BV524" s="132"/>
      <c r="BW524" s="132"/>
      <c r="BX524" s="132"/>
      <c r="BY524" s="132"/>
      <c r="BZ524" s="132"/>
      <c r="CA524" s="132"/>
      <c r="CB524" s="132"/>
      <c r="CC524" s="132"/>
      <c r="CD524" s="132"/>
      <c r="CE524" s="132"/>
      <c r="CF524" s="132"/>
      <c r="CG524" s="140"/>
    </row>
    <row r="525" spans="1:85" s="139" customFormat="1" ht="13.9" customHeight="1" x14ac:dyDescent="0.2">
      <c r="A525" s="184" t="s">
        <v>114</v>
      </c>
      <c r="B525" s="185">
        <v>23</v>
      </c>
      <c r="C525" s="186" t="s">
        <v>115</v>
      </c>
      <c r="D525" s="186" t="s">
        <v>59</v>
      </c>
      <c r="E525" s="187"/>
      <c r="F525" s="187">
        <v>86393971</v>
      </c>
      <c r="G525" s="187"/>
      <c r="H525" s="188" t="s">
        <v>118</v>
      </c>
      <c r="I525" s="189" t="s">
        <v>430</v>
      </c>
      <c r="J525" s="206">
        <v>1</v>
      </c>
      <c r="K525" s="206">
        <v>1</v>
      </c>
      <c r="L525" s="206">
        <v>11</v>
      </c>
      <c r="M525" s="185">
        <f t="shared" si="123"/>
        <v>1</v>
      </c>
      <c r="N525" s="193" t="s">
        <v>53</v>
      </c>
      <c r="O525" s="194" t="s">
        <v>54</v>
      </c>
      <c r="P525" s="195">
        <f t="shared" si="119"/>
        <v>1</v>
      </c>
      <c r="Q525" s="196">
        <f t="shared" si="120"/>
        <v>86393971</v>
      </c>
      <c r="R525" s="196">
        <f t="shared" si="121"/>
        <v>86393971</v>
      </c>
      <c r="S525" s="197" t="s">
        <v>217</v>
      </c>
      <c r="T525" s="193">
        <f t="shared" si="122"/>
        <v>0</v>
      </c>
      <c r="U525" s="198" t="str">
        <f t="shared" si="124"/>
        <v>SUBDIRECCION DE GESTION CONTRACTUAL</v>
      </c>
      <c r="V525" s="185" t="str">
        <f t="shared" si="125"/>
        <v>CO-DC</v>
      </c>
      <c r="W525" s="198" t="str">
        <f t="shared" si="126"/>
        <v>Distrito Capital de Bogotá</v>
      </c>
      <c r="X525" s="199" t="s">
        <v>299</v>
      </c>
      <c r="Y525" s="185">
        <v>2427400</v>
      </c>
      <c r="Z525" s="200" t="s">
        <v>92</v>
      </c>
      <c r="AA525" s="134"/>
      <c r="AB525" s="134"/>
      <c r="AC525" s="134"/>
      <c r="AD525" s="134"/>
      <c r="AE525" s="134"/>
      <c r="AF525" s="134"/>
      <c r="AG525" s="134"/>
      <c r="AH525" s="134"/>
      <c r="AI525" s="134"/>
      <c r="AJ525" s="134"/>
      <c r="AK525" s="134"/>
      <c r="AL525" s="134"/>
      <c r="AM525" s="134"/>
      <c r="AN525" s="134"/>
      <c r="AO525" s="134"/>
      <c r="AP525" s="134"/>
      <c r="AQ525" s="134"/>
      <c r="AR525" s="134"/>
      <c r="AS525" s="134"/>
      <c r="AT525" s="134"/>
      <c r="AU525" s="132"/>
      <c r="AV525" s="132"/>
      <c r="AW525" s="132"/>
      <c r="AX525" s="132"/>
      <c r="AY525" s="132"/>
      <c r="AZ525" s="132"/>
      <c r="BA525" s="132"/>
      <c r="BB525" s="132"/>
      <c r="BC525" s="132"/>
      <c r="BD525" s="132"/>
      <c r="BE525" s="132"/>
      <c r="BF525" s="132"/>
      <c r="BG525" s="132"/>
      <c r="BH525" s="132"/>
      <c r="BI525" s="132"/>
      <c r="BJ525" s="132"/>
      <c r="BK525" s="132"/>
      <c r="BL525" s="132"/>
      <c r="BM525" s="132"/>
      <c r="BN525" s="132"/>
      <c r="BO525" s="132"/>
      <c r="BP525" s="132"/>
      <c r="BQ525" s="132"/>
      <c r="BR525" s="132"/>
      <c r="BS525" s="132"/>
      <c r="BT525" s="132"/>
      <c r="BU525" s="132"/>
      <c r="BV525" s="132"/>
      <c r="BW525" s="132"/>
      <c r="BX525" s="132"/>
      <c r="BY525" s="132"/>
      <c r="BZ525" s="132"/>
      <c r="CA525" s="132"/>
      <c r="CB525" s="132"/>
      <c r="CC525" s="132"/>
      <c r="CD525" s="132"/>
      <c r="CE525" s="132"/>
      <c r="CF525" s="132"/>
      <c r="CG525" s="140"/>
    </row>
    <row r="526" spans="1:85" s="139" customFormat="1" ht="13.9" customHeight="1" x14ac:dyDescent="0.2">
      <c r="A526" s="184" t="s">
        <v>114</v>
      </c>
      <c r="B526" s="185">
        <v>24</v>
      </c>
      <c r="C526" s="186" t="s">
        <v>115</v>
      </c>
      <c r="D526" s="186" t="s">
        <v>57</v>
      </c>
      <c r="E526" s="187"/>
      <c r="F526" s="187">
        <v>52127289</v>
      </c>
      <c r="G526" s="187"/>
      <c r="H526" s="188" t="s">
        <v>118</v>
      </c>
      <c r="I526" s="189" t="s">
        <v>431</v>
      </c>
      <c r="J526" s="206">
        <v>1</v>
      </c>
      <c r="K526" s="206">
        <v>1</v>
      </c>
      <c r="L526" s="206">
        <v>11</v>
      </c>
      <c r="M526" s="185">
        <f t="shared" si="123"/>
        <v>1</v>
      </c>
      <c r="N526" s="193" t="s">
        <v>53</v>
      </c>
      <c r="O526" s="194" t="s">
        <v>54</v>
      </c>
      <c r="P526" s="195">
        <f t="shared" si="119"/>
        <v>1</v>
      </c>
      <c r="Q526" s="196">
        <f t="shared" si="120"/>
        <v>52127289</v>
      </c>
      <c r="R526" s="196">
        <f t="shared" si="121"/>
        <v>52127289</v>
      </c>
      <c r="S526" s="197" t="s">
        <v>217</v>
      </c>
      <c r="T526" s="193">
        <f t="shared" si="122"/>
        <v>0</v>
      </c>
      <c r="U526" s="198" t="str">
        <f t="shared" si="124"/>
        <v>SUBDIRECCION DE GESTION CONTRACTUAL</v>
      </c>
      <c r="V526" s="185" t="str">
        <f t="shared" si="125"/>
        <v>CO-DC</v>
      </c>
      <c r="W526" s="198" t="str">
        <f t="shared" si="126"/>
        <v>Distrito Capital de Bogotá</v>
      </c>
      <c r="X526" s="199" t="s">
        <v>299</v>
      </c>
      <c r="Y526" s="185">
        <v>2427400</v>
      </c>
      <c r="Z526" s="200" t="s">
        <v>92</v>
      </c>
      <c r="AA526" s="134"/>
      <c r="AB526" s="134"/>
      <c r="AC526" s="134"/>
      <c r="AD526" s="134"/>
      <c r="AE526" s="134"/>
      <c r="AF526" s="134"/>
      <c r="AG526" s="134"/>
      <c r="AH526" s="134"/>
      <c r="AI526" s="134"/>
      <c r="AJ526" s="134"/>
      <c r="AK526" s="134"/>
      <c r="AL526" s="134"/>
      <c r="AM526" s="134"/>
      <c r="AN526" s="134"/>
      <c r="AO526" s="134"/>
      <c r="AP526" s="134"/>
      <c r="AQ526" s="134"/>
      <c r="AR526" s="134"/>
      <c r="AS526" s="134"/>
      <c r="AT526" s="134"/>
      <c r="AU526" s="132"/>
      <c r="AV526" s="132"/>
      <c r="AW526" s="132"/>
      <c r="AX526" s="132"/>
      <c r="AY526" s="132"/>
      <c r="AZ526" s="132"/>
      <c r="BA526" s="132"/>
      <c r="BB526" s="132"/>
      <c r="BC526" s="132"/>
      <c r="BD526" s="132"/>
      <c r="BE526" s="132"/>
      <c r="BF526" s="132"/>
      <c r="BG526" s="132"/>
      <c r="BH526" s="132"/>
      <c r="BI526" s="132"/>
      <c r="BJ526" s="132"/>
      <c r="BK526" s="132"/>
      <c r="BL526" s="132"/>
      <c r="BM526" s="132"/>
      <c r="BN526" s="132"/>
      <c r="BO526" s="132"/>
      <c r="BP526" s="132"/>
      <c r="BQ526" s="132"/>
      <c r="BR526" s="132"/>
      <c r="BS526" s="132"/>
      <c r="BT526" s="132"/>
      <c r="BU526" s="132"/>
      <c r="BV526" s="132"/>
      <c r="BW526" s="132"/>
      <c r="BX526" s="132"/>
      <c r="BY526" s="132"/>
      <c r="BZ526" s="132"/>
      <c r="CA526" s="132"/>
      <c r="CB526" s="132"/>
      <c r="CC526" s="132"/>
      <c r="CD526" s="132"/>
      <c r="CE526" s="132"/>
      <c r="CF526" s="132"/>
      <c r="CG526" s="140"/>
    </row>
    <row r="527" spans="1:85" s="139" customFormat="1" ht="13.9" customHeight="1" x14ac:dyDescent="0.2">
      <c r="A527" s="184" t="s">
        <v>114</v>
      </c>
      <c r="B527" s="185">
        <v>25</v>
      </c>
      <c r="C527" s="186" t="s">
        <v>115</v>
      </c>
      <c r="D527" s="186" t="s">
        <v>63</v>
      </c>
      <c r="E527" s="187"/>
      <c r="F527" s="187">
        <f>70000000-30000000</f>
        <v>40000000</v>
      </c>
      <c r="G527" s="187"/>
      <c r="H527" s="246" t="s">
        <v>1029</v>
      </c>
      <c r="I527" s="189" t="s">
        <v>1020</v>
      </c>
      <c r="J527" s="206">
        <v>8</v>
      </c>
      <c r="K527" s="206">
        <v>9</v>
      </c>
      <c r="L527" s="206">
        <v>3</v>
      </c>
      <c r="M527" s="185">
        <f t="shared" si="123"/>
        <v>1</v>
      </c>
      <c r="N527" s="193" t="s">
        <v>48</v>
      </c>
      <c r="O527" s="194" t="s">
        <v>49</v>
      </c>
      <c r="P527" s="195">
        <f t="shared" si="119"/>
        <v>1</v>
      </c>
      <c r="Q527" s="196">
        <f t="shared" si="120"/>
        <v>40000000</v>
      </c>
      <c r="R527" s="196">
        <f t="shared" si="121"/>
        <v>40000000</v>
      </c>
      <c r="S527" s="197" t="s">
        <v>217</v>
      </c>
      <c r="T527" s="193">
        <f t="shared" si="122"/>
        <v>0</v>
      </c>
      <c r="U527" s="198" t="str">
        <f t="shared" si="124"/>
        <v>SUBDIRECCION DE GESTION CONTRACTUAL</v>
      </c>
      <c r="V527" s="185" t="str">
        <f t="shared" si="125"/>
        <v>CO-DC</v>
      </c>
      <c r="W527" s="198" t="str">
        <f t="shared" si="126"/>
        <v>Distrito Capital de Bogotá</v>
      </c>
      <c r="X527" s="199" t="s">
        <v>897</v>
      </c>
      <c r="Y527" s="185">
        <v>2427400</v>
      </c>
      <c r="Z527" s="200" t="s">
        <v>885</v>
      </c>
      <c r="AA527" s="134"/>
      <c r="AB527" s="134"/>
      <c r="AC527" s="134"/>
      <c r="AD527" s="134"/>
      <c r="AE527" s="134"/>
      <c r="AF527" s="134"/>
      <c r="AG527" s="134"/>
      <c r="AH527" s="134"/>
      <c r="AI527" s="134"/>
      <c r="AJ527" s="134"/>
      <c r="AK527" s="134"/>
      <c r="AL527" s="134"/>
      <c r="AM527" s="134"/>
      <c r="AN527" s="134"/>
      <c r="AO527" s="134"/>
      <c r="AP527" s="134"/>
      <c r="AQ527" s="134"/>
      <c r="AR527" s="134"/>
      <c r="AS527" s="134"/>
      <c r="AT527" s="134"/>
      <c r="AU527" s="132"/>
      <c r="AV527" s="132"/>
      <c r="AW527" s="132"/>
      <c r="AX527" s="132"/>
      <c r="AY527" s="132"/>
      <c r="AZ527" s="132"/>
      <c r="BA527" s="132"/>
      <c r="BB527" s="132"/>
      <c r="BC527" s="132"/>
      <c r="BD527" s="132"/>
      <c r="BE527" s="132"/>
      <c r="BF527" s="132"/>
      <c r="BG527" s="132"/>
      <c r="BH527" s="132"/>
      <c r="BI527" s="132"/>
      <c r="BJ527" s="132"/>
      <c r="BK527" s="132"/>
      <c r="BL527" s="132"/>
      <c r="BM527" s="132"/>
      <c r="BN527" s="132"/>
      <c r="BO527" s="132"/>
      <c r="BP527" s="132"/>
      <c r="BQ527" s="132"/>
      <c r="BR527" s="132"/>
      <c r="BS527" s="132"/>
      <c r="BT527" s="132"/>
      <c r="BU527" s="132"/>
      <c r="BV527" s="132"/>
      <c r="BW527" s="132"/>
      <c r="BX527" s="132"/>
      <c r="BY527" s="132"/>
      <c r="BZ527" s="132"/>
      <c r="CA527" s="132"/>
      <c r="CB527" s="132"/>
      <c r="CC527" s="132"/>
      <c r="CD527" s="132"/>
      <c r="CE527" s="132"/>
      <c r="CF527" s="132"/>
      <c r="CG527" s="140"/>
    </row>
    <row r="528" spans="1:85" s="139" customFormat="1" ht="13.9" customHeight="1" x14ac:dyDescent="0.2">
      <c r="A528" s="184" t="s">
        <v>114</v>
      </c>
      <c r="B528" s="185">
        <v>26</v>
      </c>
      <c r="C528" s="186" t="s">
        <v>421</v>
      </c>
      <c r="D528" s="186" t="s">
        <v>65</v>
      </c>
      <c r="E528" s="187"/>
      <c r="F528" s="187">
        <f>70669974+105357767</f>
        <v>176027741</v>
      </c>
      <c r="G528" s="187"/>
      <c r="H528" s="188" t="s">
        <v>42</v>
      </c>
      <c r="I528" s="189" t="s">
        <v>545</v>
      </c>
      <c r="J528" s="190">
        <v>3</v>
      </c>
      <c r="K528" s="191">
        <v>4</v>
      </c>
      <c r="L528" s="192">
        <v>9</v>
      </c>
      <c r="M528" s="185">
        <f t="shared" si="123"/>
        <v>1</v>
      </c>
      <c r="N528" s="193" t="s">
        <v>61</v>
      </c>
      <c r="O528" s="194" t="s">
        <v>902</v>
      </c>
      <c r="P528" s="195">
        <f t="shared" si="119"/>
        <v>1</v>
      </c>
      <c r="Q528" s="196">
        <f t="shared" si="120"/>
        <v>176027741</v>
      </c>
      <c r="R528" s="196">
        <f t="shared" si="121"/>
        <v>176027741</v>
      </c>
      <c r="S528" s="197" t="s">
        <v>217</v>
      </c>
      <c r="T528" s="193">
        <f t="shared" si="122"/>
        <v>0</v>
      </c>
      <c r="U528" s="198" t="str">
        <f t="shared" si="124"/>
        <v>SUBDIRECCION DE GESTION CONTRACTUAL</v>
      </c>
      <c r="V528" s="185" t="str">
        <f t="shared" si="125"/>
        <v>CO-DC</v>
      </c>
      <c r="W528" s="198" t="str">
        <f t="shared" si="126"/>
        <v>Distrito Capital de Bogotá</v>
      </c>
      <c r="X528" s="199" t="s">
        <v>299</v>
      </c>
      <c r="Y528" s="185">
        <v>2427400</v>
      </c>
      <c r="Z528" s="200" t="s">
        <v>92</v>
      </c>
      <c r="AA528" s="134"/>
      <c r="AB528" s="134"/>
      <c r="AC528" s="134"/>
      <c r="AD528" s="134"/>
      <c r="AE528" s="134"/>
      <c r="AF528" s="134"/>
      <c r="AG528" s="134"/>
      <c r="AH528" s="134"/>
      <c r="AI528" s="134"/>
      <c r="AJ528" s="134"/>
      <c r="AK528" s="134"/>
      <c r="AL528" s="134"/>
      <c r="AM528" s="134"/>
      <c r="AN528" s="134"/>
      <c r="AO528" s="134"/>
      <c r="AP528" s="134"/>
      <c r="AQ528" s="134"/>
      <c r="AR528" s="134"/>
      <c r="AS528" s="134"/>
      <c r="AT528" s="134"/>
      <c r="AU528" s="132"/>
      <c r="AV528" s="132"/>
      <c r="AW528" s="132"/>
      <c r="AX528" s="132"/>
      <c r="AY528" s="132"/>
      <c r="AZ528" s="132"/>
      <c r="BA528" s="132"/>
      <c r="BB528" s="132"/>
      <c r="BC528" s="132"/>
      <c r="BD528" s="132"/>
      <c r="BE528" s="132"/>
      <c r="BF528" s="132"/>
      <c r="BG528" s="132"/>
      <c r="BH528" s="132"/>
      <c r="BI528" s="132"/>
      <c r="BJ528" s="132"/>
      <c r="BK528" s="132"/>
      <c r="BL528" s="132"/>
      <c r="BM528" s="132"/>
      <c r="BN528" s="132"/>
      <c r="BO528" s="132"/>
      <c r="BP528" s="132"/>
      <c r="BQ528" s="132"/>
      <c r="BR528" s="132"/>
      <c r="BS528" s="132"/>
      <c r="BT528" s="132"/>
      <c r="BU528" s="132"/>
      <c r="BV528" s="132"/>
      <c r="BW528" s="132"/>
      <c r="BX528" s="132"/>
      <c r="BY528" s="132"/>
      <c r="BZ528" s="132"/>
      <c r="CA528" s="132"/>
      <c r="CB528" s="132"/>
      <c r="CC528" s="132"/>
      <c r="CD528" s="132"/>
      <c r="CE528" s="132"/>
      <c r="CF528" s="132"/>
      <c r="CG528" s="140"/>
    </row>
    <row r="529" spans="1:85" s="139" customFormat="1" ht="13.9" customHeight="1" x14ac:dyDescent="0.2">
      <c r="A529" s="184" t="s">
        <v>114</v>
      </c>
      <c r="B529" s="185">
        <v>27</v>
      </c>
      <c r="C529" s="186" t="s">
        <v>115</v>
      </c>
      <c r="D529" s="186" t="s">
        <v>409</v>
      </c>
      <c r="E529" s="187"/>
      <c r="F529" s="187">
        <v>200000000</v>
      </c>
      <c r="G529" s="187"/>
      <c r="H529" s="188" t="s">
        <v>819</v>
      </c>
      <c r="I529" s="189" t="s">
        <v>816</v>
      </c>
      <c r="J529" s="190">
        <v>4</v>
      </c>
      <c r="K529" s="191">
        <v>4</v>
      </c>
      <c r="L529" s="192">
        <v>2</v>
      </c>
      <c r="M529" s="185">
        <f t="shared" si="123"/>
        <v>1</v>
      </c>
      <c r="N529" s="193" t="s">
        <v>43</v>
      </c>
      <c r="O529" s="194" t="s">
        <v>44</v>
      </c>
      <c r="P529" s="195">
        <f t="shared" si="119"/>
        <v>1</v>
      </c>
      <c r="Q529" s="196">
        <v>200000000</v>
      </c>
      <c r="R529" s="196">
        <v>200000000</v>
      </c>
      <c r="S529" s="197" t="s">
        <v>217</v>
      </c>
      <c r="T529" s="193">
        <f t="shared" si="122"/>
        <v>0</v>
      </c>
      <c r="U529" s="198" t="str">
        <f t="shared" si="124"/>
        <v>SUBDIRECCION DE GESTION CONTRACTUAL</v>
      </c>
      <c r="V529" s="185" t="str">
        <f t="shared" si="125"/>
        <v>CO-DC</v>
      </c>
      <c r="W529" s="198" t="str">
        <f t="shared" si="126"/>
        <v>Distrito Capital de Bogotá</v>
      </c>
      <c r="X529" s="199" t="s">
        <v>807</v>
      </c>
      <c r="Y529" s="185">
        <v>2427400</v>
      </c>
      <c r="Z529" s="200" t="s">
        <v>808</v>
      </c>
      <c r="AA529" s="134"/>
      <c r="AB529" s="134"/>
      <c r="AC529" s="134"/>
      <c r="AD529" s="134"/>
      <c r="AE529" s="134"/>
      <c r="AF529" s="134"/>
      <c r="AG529" s="134"/>
      <c r="AH529" s="134"/>
      <c r="AI529" s="134"/>
      <c r="AJ529" s="134"/>
      <c r="AK529" s="134"/>
      <c r="AL529" s="134"/>
      <c r="AM529" s="134"/>
      <c r="AN529" s="134"/>
      <c r="AO529" s="134"/>
      <c r="AP529" s="134"/>
      <c r="AQ529" s="134"/>
      <c r="AR529" s="134"/>
      <c r="AS529" s="134"/>
      <c r="AT529" s="134"/>
      <c r="AU529" s="132"/>
      <c r="AV529" s="132"/>
      <c r="AW529" s="132"/>
      <c r="AX529" s="132"/>
      <c r="AY529" s="132"/>
      <c r="AZ529" s="132"/>
      <c r="BA529" s="132"/>
      <c r="BB529" s="132"/>
      <c r="BC529" s="132"/>
      <c r="BD529" s="132"/>
      <c r="BE529" s="132"/>
      <c r="BF529" s="132"/>
      <c r="BG529" s="132"/>
      <c r="BH529" s="132"/>
      <c r="BI529" s="132"/>
      <c r="BJ529" s="132"/>
      <c r="BK529" s="132"/>
      <c r="BL529" s="132"/>
      <c r="BM529" s="132"/>
      <c r="BN529" s="132"/>
      <c r="BO529" s="132"/>
      <c r="BP529" s="132"/>
      <c r="BQ529" s="132"/>
      <c r="BR529" s="132"/>
      <c r="BS529" s="132"/>
      <c r="BT529" s="132"/>
      <c r="BU529" s="132"/>
      <c r="BV529" s="132"/>
      <c r="BW529" s="132"/>
      <c r="BX529" s="132"/>
      <c r="BY529" s="132"/>
      <c r="BZ529" s="132"/>
      <c r="CA529" s="132"/>
      <c r="CB529" s="132"/>
      <c r="CC529" s="132"/>
      <c r="CD529" s="132"/>
      <c r="CE529" s="132"/>
      <c r="CF529" s="132"/>
      <c r="CG529" s="140"/>
    </row>
    <row r="530" spans="1:85" s="139" customFormat="1" ht="13.9" customHeight="1" x14ac:dyDescent="0.2">
      <c r="A530" s="184" t="s">
        <v>114</v>
      </c>
      <c r="B530" s="185">
        <v>28</v>
      </c>
      <c r="C530" s="186" t="s">
        <v>536</v>
      </c>
      <c r="D530" s="186" t="s">
        <v>409</v>
      </c>
      <c r="E530" s="187"/>
      <c r="F530" s="187">
        <v>1000000000</v>
      </c>
      <c r="G530" s="187"/>
      <c r="H530" s="188" t="s">
        <v>225</v>
      </c>
      <c r="I530" s="189" t="s">
        <v>817</v>
      </c>
      <c r="J530" s="190">
        <v>7</v>
      </c>
      <c r="K530" s="190">
        <v>9</v>
      </c>
      <c r="L530" s="192">
        <v>3</v>
      </c>
      <c r="M530" s="185">
        <f t="shared" si="123"/>
        <v>1</v>
      </c>
      <c r="N530" s="193" t="s">
        <v>61</v>
      </c>
      <c r="O530" s="194" t="s">
        <v>902</v>
      </c>
      <c r="P530" s="195">
        <v>1</v>
      </c>
      <c r="Q530" s="196">
        <v>1000000000</v>
      </c>
      <c r="R530" s="196">
        <v>1000000000</v>
      </c>
      <c r="S530" s="197" t="s">
        <v>217</v>
      </c>
      <c r="T530" s="193">
        <f t="shared" si="122"/>
        <v>0</v>
      </c>
      <c r="U530" s="198" t="str">
        <f t="shared" si="124"/>
        <v>SUBDIRECCION DE GESTION CONTRACTUAL</v>
      </c>
      <c r="V530" s="185" t="str">
        <f t="shared" si="125"/>
        <v>CO-DC</v>
      </c>
      <c r="W530" s="198" t="str">
        <f t="shared" si="126"/>
        <v>Distrito Capital de Bogotá</v>
      </c>
      <c r="X530" s="199" t="s">
        <v>807</v>
      </c>
      <c r="Y530" s="185">
        <v>2427400</v>
      </c>
      <c r="Z530" s="200" t="s">
        <v>808</v>
      </c>
      <c r="AA530" s="134"/>
      <c r="AB530" s="134"/>
      <c r="AC530" s="134"/>
      <c r="AD530" s="134"/>
      <c r="AE530" s="134"/>
      <c r="AF530" s="134"/>
      <c r="AG530" s="134"/>
      <c r="AH530" s="134"/>
      <c r="AI530" s="134"/>
      <c r="AJ530" s="134"/>
      <c r="AK530" s="134"/>
      <c r="AL530" s="134"/>
      <c r="AM530" s="134"/>
      <c r="AN530" s="134"/>
      <c r="AO530" s="134"/>
      <c r="AP530" s="134"/>
      <c r="AQ530" s="134"/>
      <c r="AR530" s="134"/>
      <c r="AS530" s="134"/>
      <c r="AT530" s="134"/>
      <c r="AU530" s="132"/>
      <c r="AV530" s="132"/>
      <c r="AW530" s="132"/>
      <c r="AX530" s="132"/>
      <c r="AY530" s="132"/>
      <c r="AZ530" s="132"/>
      <c r="BA530" s="132"/>
      <c r="BB530" s="132"/>
      <c r="BC530" s="132"/>
      <c r="BD530" s="132"/>
      <c r="BE530" s="132"/>
      <c r="BF530" s="132"/>
      <c r="BG530" s="132"/>
      <c r="BH530" s="132"/>
      <c r="BI530" s="132"/>
      <c r="BJ530" s="132"/>
      <c r="BK530" s="132"/>
      <c r="BL530" s="132"/>
      <c r="BM530" s="132"/>
      <c r="BN530" s="132"/>
      <c r="BO530" s="132"/>
      <c r="BP530" s="132"/>
      <c r="BQ530" s="132"/>
      <c r="BR530" s="132"/>
      <c r="BS530" s="132"/>
      <c r="BT530" s="132"/>
      <c r="BU530" s="132"/>
      <c r="BV530" s="132"/>
      <c r="BW530" s="132"/>
      <c r="BX530" s="132"/>
      <c r="BY530" s="132"/>
      <c r="BZ530" s="132"/>
      <c r="CA530" s="132"/>
      <c r="CB530" s="132"/>
      <c r="CC530" s="132"/>
      <c r="CD530" s="132"/>
      <c r="CE530" s="132"/>
      <c r="CF530" s="132"/>
      <c r="CG530" s="140"/>
    </row>
    <row r="531" spans="1:85" s="139" customFormat="1" ht="13.9" customHeight="1" x14ac:dyDescent="0.2">
      <c r="A531" s="184" t="s">
        <v>114</v>
      </c>
      <c r="B531" s="185">
        <v>29</v>
      </c>
      <c r="C531" s="186" t="s">
        <v>115</v>
      </c>
      <c r="D531" s="186" t="s">
        <v>63</v>
      </c>
      <c r="E531" s="187"/>
      <c r="F531" s="187">
        <v>30000000</v>
      </c>
      <c r="G531" s="187"/>
      <c r="H531" s="188" t="s">
        <v>820</v>
      </c>
      <c r="I531" s="189" t="s">
        <v>818</v>
      </c>
      <c r="J531" s="190">
        <v>4</v>
      </c>
      <c r="K531" s="191">
        <v>5</v>
      </c>
      <c r="L531" s="192">
        <v>7</v>
      </c>
      <c r="M531" s="185">
        <f t="shared" si="123"/>
        <v>1</v>
      </c>
      <c r="N531" s="193" t="s">
        <v>48</v>
      </c>
      <c r="O531" s="194" t="s">
        <v>49</v>
      </c>
      <c r="P531" s="195">
        <v>1</v>
      </c>
      <c r="Q531" s="196">
        <v>30000000</v>
      </c>
      <c r="R531" s="196">
        <v>30000000</v>
      </c>
      <c r="S531" s="197" t="s">
        <v>217</v>
      </c>
      <c r="T531" s="193">
        <f t="shared" si="122"/>
        <v>0</v>
      </c>
      <c r="U531" s="198" t="str">
        <f t="shared" si="124"/>
        <v>SUBDIRECCION DE GESTION CONTRACTUAL</v>
      </c>
      <c r="V531" s="185" t="str">
        <f t="shared" si="125"/>
        <v>CO-DC</v>
      </c>
      <c r="W531" s="198" t="str">
        <f t="shared" si="126"/>
        <v>Distrito Capital de Bogotá</v>
      </c>
      <c r="X531" s="199" t="s">
        <v>807</v>
      </c>
      <c r="Y531" s="185">
        <v>2427400</v>
      </c>
      <c r="Z531" s="200" t="s">
        <v>808</v>
      </c>
      <c r="AA531" s="134"/>
      <c r="AB531" s="134"/>
      <c r="AC531" s="134"/>
      <c r="AD531" s="134"/>
      <c r="AE531" s="134"/>
      <c r="AF531" s="134"/>
      <c r="AG531" s="134"/>
      <c r="AH531" s="134"/>
      <c r="AI531" s="134"/>
      <c r="AJ531" s="134"/>
      <c r="AK531" s="134"/>
      <c r="AL531" s="134"/>
      <c r="AM531" s="134"/>
      <c r="AN531" s="134"/>
      <c r="AO531" s="134"/>
      <c r="AP531" s="134"/>
      <c r="AQ531" s="134"/>
      <c r="AR531" s="134"/>
      <c r="AS531" s="134"/>
      <c r="AT531" s="134"/>
      <c r="AU531" s="132"/>
      <c r="AV531" s="132"/>
      <c r="AW531" s="132"/>
      <c r="AX531" s="132"/>
      <c r="AY531" s="132"/>
      <c r="AZ531" s="132"/>
      <c r="BA531" s="132"/>
      <c r="BB531" s="132"/>
      <c r="BC531" s="132"/>
      <c r="BD531" s="132"/>
      <c r="BE531" s="132"/>
      <c r="BF531" s="132"/>
      <c r="BG531" s="132"/>
      <c r="BH531" s="132"/>
      <c r="BI531" s="132"/>
      <c r="BJ531" s="132"/>
      <c r="BK531" s="132"/>
      <c r="BL531" s="132"/>
      <c r="BM531" s="132"/>
      <c r="BN531" s="132"/>
      <c r="BO531" s="132"/>
      <c r="BP531" s="132"/>
      <c r="BQ531" s="132"/>
      <c r="BR531" s="132"/>
      <c r="BS531" s="132"/>
      <c r="BT531" s="132"/>
      <c r="BU531" s="132"/>
      <c r="BV531" s="132"/>
      <c r="BW531" s="132"/>
      <c r="BX531" s="132"/>
      <c r="BY531" s="132"/>
      <c r="BZ531" s="132"/>
      <c r="CA531" s="132"/>
      <c r="CB531" s="132"/>
      <c r="CC531" s="132"/>
      <c r="CD531" s="132"/>
      <c r="CE531" s="132"/>
      <c r="CF531" s="132"/>
      <c r="CG531" s="140"/>
    </row>
    <row r="532" spans="1:85" s="139" customFormat="1" ht="13.9" customHeight="1" x14ac:dyDescent="0.2">
      <c r="A532" s="184" t="s">
        <v>114</v>
      </c>
      <c r="B532" s="185">
        <v>30</v>
      </c>
      <c r="C532" s="186" t="s">
        <v>115</v>
      </c>
      <c r="D532" s="186" t="s">
        <v>409</v>
      </c>
      <c r="E532" s="187"/>
      <c r="F532" s="187">
        <v>510000000</v>
      </c>
      <c r="G532" s="187"/>
      <c r="H532" s="188" t="s">
        <v>910</v>
      </c>
      <c r="I532" s="189" t="s">
        <v>899</v>
      </c>
      <c r="J532" s="190">
        <v>6</v>
      </c>
      <c r="K532" s="191" t="s">
        <v>826</v>
      </c>
      <c r="L532" s="192">
        <v>2</v>
      </c>
      <c r="M532" s="185">
        <f t="shared" si="123"/>
        <v>1</v>
      </c>
      <c r="N532" s="193" t="s">
        <v>43</v>
      </c>
      <c r="O532" s="194" t="s">
        <v>44</v>
      </c>
      <c r="P532" s="195">
        <v>1</v>
      </c>
      <c r="Q532" s="196">
        <v>510000000</v>
      </c>
      <c r="R532" s="196">
        <v>510000000</v>
      </c>
      <c r="S532" s="197" t="s">
        <v>217</v>
      </c>
      <c r="T532" s="193">
        <v>0</v>
      </c>
      <c r="U532" s="198" t="str">
        <f t="shared" si="124"/>
        <v>SUBDIRECCION DE GESTION CONTRACTUAL</v>
      </c>
      <c r="V532" s="185" t="str">
        <f t="shared" si="125"/>
        <v>CO-DC</v>
      </c>
      <c r="W532" s="198" t="str">
        <f t="shared" si="126"/>
        <v>Distrito Capital de Bogotá</v>
      </c>
      <c r="X532" s="199" t="s">
        <v>897</v>
      </c>
      <c r="Y532" s="185">
        <v>2427400</v>
      </c>
      <c r="Z532" s="200" t="s">
        <v>885</v>
      </c>
      <c r="AA532" s="134"/>
      <c r="AB532" s="134"/>
      <c r="AC532" s="134"/>
      <c r="AD532" s="134"/>
      <c r="AE532" s="134"/>
      <c r="AF532" s="134"/>
      <c r="AG532" s="134"/>
      <c r="AH532" s="134"/>
      <c r="AI532" s="134"/>
      <c r="AJ532" s="134"/>
      <c r="AK532" s="134"/>
      <c r="AL532" s="134"/>
      <c r="AM532" s="134"/>
      <c r="AN532" s="134"/>
      <c r="AO532" s="134"/>
      <c r="AP532" s="134"/>
      <c r="AQ532" s="134"/>
      <c r="AR532" s="134"/>
      <c r="AS532" s="134"/>
      <c r="AT532" s="134"/>
      <c r="AU532" s="132"/>
      <c r="AV532" s="132"/>
      <c r="AW532" s="132"/>
      <c r="AX532" s="132"/>
      <c r="AY532" s="132"/>
      <c r="AZ532" s="132"/>
      <c r="BA532" s="132"/>
      <c r="BB532" s="132"/>
      <c r="BC532" s="132"/>
      <c r="BD532" s="132"/>
      <c r="BE532" s="132"/>
      <c r="BF532" s="132"/>
      <c r="BG532" s="132"/>
      <c r="BH532" s="132"/>
      <c r="BI532" s="132"/>
      <c r="BJ532" s="132"/>
      <c r="BK532" s="132"/>
      <c r="BL532" s="132"/>
      <c r="BM532" s="132"/>
      <c r="BN532" s="132"/>
      <c r="BO532" s="132"/>
      <c r="BP532" s="132"/>
      <c r="BQ532" s="132"/>
      <c r="BR532" s="132"/>
      <c r="BS532" s="132"/>
      <c r="BT532" s="132"/>
      <c r="BU532" s="132"/>
      <c r="BV532" s="132"/>
      <c r="BW532" s="132"/>
      <c r="BX532" s="132"/>
      <c r="BY532" s="132"/>
      <c r="BZ532" s="132"/>
      <c r="CA532" s="132"/>
      <c r="CB532" s="132"/>
      <c r="CC532" s="132"/>
      <c r="CD532" s="132"/>
      <c r="CE532" s="132"/>
      <c r="CF532" s="132"/>
      <c r="CG532" s="140"/>
    </row>
    <row r="533" spans="1:85" s="139" customFormat="1" ht="13.9" customHeight="1" x14ac:dyDescent="0.25">
      <c r="A533" s="184" t="s">
        <v>114</v>
      </c>
      <c r="B533" s="185">
        <v>31</v>
      </c>
      <c r="C533" s="186" t="s">
        <v>115</v>
      </c>
      <c r="D533" s="186" t="s">
        <v>409</v>
      </c>
      <c r="E533" s="187"/>
      <c r="F533" s="187">
        <f>110000000+66583333</f>
        <v>176583333</v>
      </c>
      <c r="G533" s="187"/>
      <c r="H533" s="246" t="s">
        <v>926</v>
      </c>
      <c r="I533" s="189" t="s">
        <v>896</v>
      </c>
      <c r="J533" s="190">
        <v>8</v>
      </c>
      <c r="K533" s="191" t="s">
        <v>1038</v>
      </c>
      <c r="L533" s="192">
        <v>1</v>
      </c>
      <c r="M533" s="185">
        <f t="shared" si="123"/>
        <v>1</v>
      </c>
      <c r="N533" s="193" t="s">
        <v>43</v>
      </c>
      <c r="O533" s="194" t="s">
        <v>44</v>
      </c>
      <c r="P533" s="195">
        <v>1</v>
      </c>
      <c r="Q533" s="196">
        <v>110000000</v>
      </c>
      <c r="R533" s="196">
        <v>110000000</v>
      </c>
      <c r="S533" s="197" t="s">
        <v>217</v>
      </c>
      <c r="T533" s="193">
        <v>0</v>
      </c>
      <c r="U533" s="198" t="s">
        <v>37</v>
      </c>
      <c r="V533" s="185" t="s">
        <v>39</v>
      </c>
      <c r="W533" s="198" t="s">
        <v>38</v>
      </c>
      <c r="X533" s="199" t="s">
        <v>897</v>
      </c>
      <c r="Y533" s="185">
        <v>2427400</v>
      </c>
      <c r="Z533" s="125" t="s">
        <v>885</v>
      </c>
      <c r="AA533" s="134"/>
      <c r="AB533" s="134"/>
      <c r="AC533" s="134"/>
      <c r="AD533" s="134"/>
      <c r="AE533" s="134"/>
      <c r="AF533" s="134"/>
      <c r="AG533" s="134"/>
      <c r="AH533" s="134"/>
      <c r="AI533" s="134"/>
      <c r="AJ533" s="134"/>
      <c r="AK533" s="134"/>
      <c r="AL533" s="134"/>
      <c r="AM533" s="134"/>
      <c r="AN533" s="134"/>
      <c r="AO533" s="134"/>
      <c r="AP533" s="134"/>
      <c r="AQ533" s="134"/>
      <c r="AR533" s="134"/>
      <c r="AS533" s="134"/>
      <c r="AT533" s="134"/>
      <c r="AU533" s="132"/>
      <c r="AV533" s="132"/>
      <c r="AW533" s="132"/>
      <c r="AX533" s="132"/>
      <c r="AY533" s="132"/>
      <c r="AZ533" s="132"/>
      <c r="BA533" s="132"/>
      <c r="BB533" s="132"/>
      <c r="BC533" s="132"/>
      <c r="BD533" s="132"/>
      <c r="BE533" s="132"/>
      <c r="BF533" s="132"/>
      <c r="BG533" s="132"/>
      <c r="BH533" s="132"/>
      <c r="BI533" s="132"/>
      <c r="BJ533" s="132"/>
      <c r="BK533" s="132"/>
      <c r="BL533" s="132"/>
      <c r="BM533" s="132"/>
      <c r="BN533" s="132"/>
      <c r="BO533" s="132"/>
      <c r="BP533" s="132"/>
      <c r="BQ533" s="132"/>
      <c r="BR533" s="132"/>
      <c r="BS533" s="132"/>
      <c r="BT533" s="132"/>
      <c r="BU533" s="132"/>
      <c r="BV533" s="132"/>
      <c r="BW533" s="132"/>
      <c r="BX533" s="132"/>
      <c r="BY533" s="132"/>
      <c r="BZ533" s="132"/>
      <c r="CA533" s="132"/>
      <c r="CB533" s="132"/>
      <c r="CC533" s="132"/>
      <c r="CD533" s="132"/>
      <c r="CE533" s="132"/>
      <c r="CF533" s="132"/>
      <c r="CG533" s="140"/>
    </row>
    <row r="534" spans="1:85" s="139" customFormat="1" ht="13.9" customHeight="1" x14ac:dyDescent="0.2">
      <c r="A534" s="184" t="s">
        <v>114</v>
      </c>
      <c r="B534" s="185">
        <v>32</v>
      </c>
      <c r="C534" s="186" t="s">
        <v>115</v>
      </c>
      <c r="D534" s="186" t="s">
        <v>409</v>
      </c>
      <c r="E534" s="187"/>
      <c r="F534" s="187">
        <f>766583333-66583333</f>
        <v>700000000</v>
      </c>
      <c r="G534" s="187"/>
      <c r="H534" s="188">
        <v>81112001</v>
      </c>
      <c r="I534" s="189" t="s">
        <v>898</v>
      </c>
      <c r="J534" s="190">
        <v>6</v>
      </c>
      <c r="K534" s="191" t="s">
        <v>826</v>
      </c>
      <c r="L534" s="192">
        <v>2</v>
      </c>
      <c r="M534" s="185">
        <f t="shared" si="123"/>
        <v>1</v>
      </c>
      <c r="N534" s="193" t="s">
        <v>43</v>
      </c>
      <c r="O534" s="194" t="s">
        <v>44</v>
      </c>
      <c r="P534" s="195">
        <v>1</v>
      </c>
      <c r="Q534" s="196">
        <v>766583333</v>
      </c>
      <c r="R534" s="196">
        <v>766583333</v>
      </c>
      <c r="S534" s="197" t="s">
        <v>217</v>
      </c>
      <c r="T534" s="193">
        <v>0</v>
      </c>
      <c r="U534" s="198" t="s">
        <v>37</v>
      </c>
      <c r="V534" s="185" t="s">
        <v>39</v>
      </c>
      <c r="W534" s="198" t="s">
        <v>38</v>
      </c>
      <c r="X534" s="199" t="s">
        <v>897</v>
      </c>
      <c r="Y534" s="185">
        <v>2427400</v>
      </c>
      <c r="Z534" s="200" t="s">
        <v>885</v>
      </c>
      <c r="AA534" s="134"/>
      <c r="AB534" s="134"/>
      <c r="AC534" s="134"/>
      <c r="AD534" s="134"/>
      <c r="AE534" s="134"/>
      <c r="AF534" s="134"/>
      <c r="AG534" s="134"/>
      <c r="AH534" s="134"/>
      <c r="AI534" s="134"/>
      <c r="AJ534" s="134"/>
      <c r="AK534" s="134"/>
      <c r="AL534" s="134"/>
      <c r="AM534" s="134"/>
      <c r="AN534" s="134"/>
      <c r="AO534" s="134"/>
      <c r="AP534" s="134"/>
      <c r="AQ534" s="134"/>
      <c r="AR534" s="134"/>
      <c r="AS534" s="134"/>
      <c r="AT534" s="134"/>
      <c r="AU534" s="132"/>
      <c r="AV534" s="132"/>
      <c r="AW534" s="132"/>
      <c r="AX534" s="132"/>
      <c r="AY534" s="132"/>
      <c r="AZ534" s="132"/>
      <c r="BA534" s="132"/>
      <c r="BB534" s="132"/>
      <c r="BC534" s="132"/>
      <c r="BD534" s="132"/>
      <c r="BE534" s="132"/>
      <c r="BF534" s="132"/>
      <c r="BG534" s="132"/>
      <c r="BH534" s="132"/>
      <c r="BI534" s="132"/>
      <c r="BJ534" s="132"/>
      <c r="BK534" s="132"/>
      <c r="BL534" s="132"/>
      <c r="BM534" s="132"/>
      <c r="BN534" s="132"/>
      <c r="BO534" s="132"/>
      <c r="BP534" s="132"/>
      <c r="BQ534" s="132"/>
      <c r="BR534" s="132"/>
      <c r="BS534" s="132"/>
      <c r="BT534" s="132"/>
      <c r="BU534" s="132"/>
      <c r="BV534" s="132"/>
      <c r="BW534" s="132"/>
      <c r="BX534" s="132"/>
      <c r="BY534" s="132"/>
      <c r="BZ534" s="132"/>
      <c r="CA534" s="132"/>
      <c r="CB534" s="132"/>
      <c r="CC534" s="132"/>
      <c r="CD534" s="132"/>
      <c r="CE534" s="132"/>
      <c r="CF534" s="132"/>
      <c r="CG534" s="140"/>
    </row>
    <row r="535" spans="1:85" s="139" customFormat="1" ht="13.9" customHeight="1" x14ac:dyDescent="0.2">
      <c r="A535" s="208" t="s">
        <v>121</v>
      </c>
      <c r="B535" s="202">
        <v>1</v>
      </c>
      <c r="C535" s="203" t="s">
        <v>535</v>
      </c>
      <c r="D535" s="209" t="s">
        <v>122</v>
      </c>
      <c r="E535" s="210"/>
      <c r="F535" s="210">
        <v>577843847</v>
      </c>
      <c r="G535" s="210"/>
      <c r="H535" s="209">
        <v>80111600</v>
      </c>
      <c r="I535" s="203" t="s">
        <v>432</v>
      </c>
      <c r="J535" s="202">
        <v>1</v>
      </c>
      <c r="K535" s="202">
        <v>1</v>
      </c>
      <c r="L535" s="202">
        <v>12</v>
      </c>
      <c r="M535" s="185">
        <f t="shared" si="123"/>
        <v>1</v>
      </c>
      <c r="N535" s="193" t="s">
        <v>210</v>
      </c>
      <c r="O535" s="194" t="s">
        <v>264</v>
      </c>
      <c r="P535" s="211">
        <f t="shared" ref="P535:P546" si="127">IF(ISBLANK(N535),"",1)</f>
        <v>1</v>
      </c>
      <c r="Q535" s="196">
        <f t="shared" ref="Q535:Q598" si="128">+E535+F535+G535</f>
        <v>577843847</v>
      </c>
      <c r="R535" s="196">
        <f t="shared" ref="R535:R598" si="129">+F535</f>
        <v>577843847</v>
      </c>
      <c r="S535" s="201" t="s">
        <v>217</v>
      </c>
      <c r="T535" s="211">
        <f t="shared" ref="T535:T546" si="130">IF(ISBLANK(S535),"",IF(VALUE(S535)=0,0,IF(VALUE(S535)=1,3,"")))</f>
        <v>0</v>
      </c>
      <c r="U535" s="198" t="str">
        <f t="shared" ref="U535:U546" si="131">IF(ISBLANK(N535),"","SUBDIRECCION DE GESTION CONTRACTUAL")</f>
        <v>SUBDIRECCION DE GESTION CONTRACTUAL</v>
      </c>
      <c r="V535" s="211" t="str">
        <f t="shared" ref="V535:V546" si="132">IF(ISBLANK(N535),"","CO-DC")</f>
        <v>CO-DC</v>
      </c>
      <c r="W535" s="211" t="str">
        <f t="shared" ref="W535:W546" si="133">IF(ISBLANK(N535),"","Distrito Capital de Bogotá")</f>
        <v>Distrito Capital de Bogotá</v>
      </c>
      <c r="X535" s="209" t="s">
        <v>839</v>
      </c>
      <c r="Y535" s="202">
        <v>2427400</v>
      </c>
      <c r="Z535" s="127" t="s">
        <v>840</v>
      </c>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2"/>
      <c r="AV535" s="132"/>
      <c r="AW535" s="132"/>
      <c r="AX535" s="132"/>
      <c r="AY535" s="132"/>
      <c r="AZ535" s="132"/>
      <c r="BA535" s="132"/>
      <c r="BB535" s="132"/>
      <c r="BC535" s="132"/>
      <c r="BD535" s="132"/>
      <c r="BE535" s="132"/>
      <c r="BF535" s="132"/>
      <c r="BG535" s="132"/>
      <c r="BH535" s="132"/>
      <c r="BI535" s="132"/>
      <c r="BJ535" s="132"/>
      <c r="BK535" s="132"/>
      <c r="BL535" s="132"/>
      <c r="BM535" s="132"/>
      <c r="BN535" s="132"/>
      <c r="BO535" s="132"/>
      <c r="BP535" s="132"/>
      <c r="BQ535" s="132"/>
      <c r="BR535" s="132"/>
      <c r="BS535" s="132"/>
      <c r="BT535" s="132"/>
      <c r="BU535" s="132"/>
      <c r="BV535" s="132"/>
      <c r="BW535" s="132"/>
      <c r="BX535" s="132"/>
      <c r="BY535" s="132"/>
      <c r="BZ535" s="132"/>
      <c r="CA535" s="132"/>
      <c r="CB535" s="132"/>
      <c r="CC535" s="132"/>
      <c r="CD535" s="132"/>
      <c r="CE535" s="132"/>
      <c r="CF535" s="132"/>
      <c r="CG535" s="140"/>
    </row>
    <row r="536" spans="1:85" s="139" customFormat="1" ht="13.9" customHeight="1" x14ac:dyDescent="0.2">
      <c r="A536" s="208" t="s">
        <v>121</v>
      </c>
      <c r="B536" s="202">
        <v>2</v>
      </c>
      <c r="C536" s="203" t="s">
        <v>535</v>
      </c>
      <c r="D536" s="209" t="s">
        <v>122</v>
      </c>
      <c r="E536" s="210"/>
      <c r="F536" s="210">
        <f>425000000-115000000</f>
        <v>310000000</v>
      </c>
      <c r="G536" s="210"/>
      <c r="H536" s="209" t="s">
        <v>699</v>
      </c>
      <c r="I536" s="203" t="s">
        <v>862</v>
      </c>
      <c r="J536" s="202">
        <v>6</v>
      </c>
      <c r="K536" s="202">
        <v>7</v>
      </c>
      <c r="L536" s="202">
        <v>2</v>
      </c>
      <c r="M536" s="185">
        <f t="shared" si="123"/>
        <v>1</v>
      </c>
      <c r="N536" s="193" t="s">
        <v>296</v>
      </c>
      <c r="O536" s="194" t="s">
        <v>904</v>
      </c>
      <c r="P536" s="211">
        <f t="shared" si="127"/>
        <v>1</v>
      </c>
      <c r="Q536" s="196">
        <f t="shared" si="128"/>
        <v>310000000</v>
      </c>
      <c r="R536" s="196">
        <f t="shared" si="129"/>
        <v>310000000</v>
      </c>
      <c r="S536" s="201" t="s">
        <v>217</v>
      </c>
      <c r="T536" s="211">
        <f t="shared" si="130"/>
        <v>0</v>
      </c>
      <c r="U536" s="198" t="str">
        <f t="shared" si="131"/>
        <v>SUBDIRECCION DE GESTION CONTRACTUAL</v>
      </c>
      <c r="V536" s="211" t="str">
        <f t="shared" si="132"/>
        <v>CO-DC</v>
      </c>
      <c r="W536" s="211" t="str">
        <f t="shared" si="133"/>
        <v>Distrito Capital de Bogotá</v>
      </c>
      <c r="X536" s="209" t="s">
        <v>839</v>
      </c>
      <c r="Y536" s="202">
        <v>2427400</v>
      </c>
      <c r="Z536" s="127" t="s">
        <v>840</v>
      </c>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2"/>
      <c r="AV536" s="132"/>
      <c r="AW536" s="132"/>
      <c r="AX536" s="132"/>
      <c r="AY536" s="132"/>
      <c r="AZ536" s="132"/>
      <c r="BA536" s="132"/>
      <c r="BB536" s="132"/>
      <c r="BC536" s="132"/>
      <c r="BD536" s="132"/>
      <c r="BE536" s="132"/>
      <c r="BF536" s="132"/>
      <c r="BG536" s="132"/>
      <c r="BH536" s="132"/>
      <c r="BI536" s="132"/>
      <c r="BJ536" s="132"/>
      <c r="BK536" s="132"/>
      <c r="BL536" s="132"/>
      <c r="BM536" s="132"/>
      <c r="BN536" s="132"/>
      <c r="BO536" s="132"/>
      <c r="BP536" s="132"/>
      <c r="BQ536" s="132"/>
      <c r="BR536" s="132"/>
      <c r="BS536" s="132"/>
      <c r="BT536" s="132"/>
      <c r="BU536" s="132"/>
      <c r="BV536" s="132"/>
      <c r="BW536" s="132"/>
      <c r="BX536" s="132"/>
      <c r="BY536" s="132"/>
      <c r="BZ536" s="132"/>
      <c r="CA536" s="132"/>
      <c r="CB536" s="132"/>
      <c r="CC536" s="132"/>
      <c r="CD536" s="132"/>
      <c r="CE536" s="132"/>
      <c r="CF536" s="132"/>
      <c r="CG536" s="140"/>
    </row>
    <row r="537" spans="1:85" s="139" customFormat="1" ht="13.9" customHeight="1" x14ac:dyDescent="0.2">
      <c r="A537" s="208" t="s">
        <v>121</v>
      </c>
      <c r="B537" s="202">
        <v>3</v>
      </c>
      <c r="C537" s="203" t="s">
        <v>535</v>
      </c>
      <c r="D537" s="209" t="s">
        <v>122</v>
      </c>
      <c r="E537" s="210"/>
      <c r="F537" s="210">
        <v>700000000</v>
      </c>
      <c r="G537" s="210"/>
      <c r="H537" s="209">
        <v>43233001</v>
      </c>
      <c r="I537" s="203" t="s">
        <v>433</v>
      </c>
      <c r="J537" s="202">
        <v>2</v>
      </c>
      <c r="K537" s="202">
        <v>3</v>
      </c>
      <c r="L537" s="202">
        <v>10</v>
      </c>
      <c r="M537" s="185">
        <f t="shared" si="123"/>
        <v>1</v>
      </c>
      <c r="N537" s="193" t="s">
        <v>36</v>
      </c>
      <c r="O537" s="194" t="s">
        <v>256</v>
      </c>
      <c r="P537" s="211">
        <f t="shared" si="127"/>
        <v>1</v>
      </c>
      <c r="Q537" s="196">
        <f t="shared" si="128"/>
        <v>700000000</v>
      </c>
      <c r="R537" s="196">
        <f t="shared" si="129"/>
        <v>700000000</v>
      </c>
      <c r="S537" s="201" t="s">
        <v>217</v>
      </c>
      <c r="T537" s="211">
        <f t="shared" si="130"/>
        <v>0</v>
      </c>
      <c r="U537" s="198" t="str">
        <f t="shared" si="131"/>
        <v>SUBDIRECCION DE GESTION CONTRACTUAL</v>
      </c>
      <c r="V537" s="211" t="str">
        <f t="shared" si="132"/>
        <v>CO-DC</v>
      </c>
      <c r="W537" s="211" t="str">
        <f t="shared" si="133"/>
        <v>Distrito Capital de Bogotá</v>
      </c>
      <c r="X537" s="209" t="s">
        <v>839</v>
      </c>
      <c r="Y537" s="202">
        <v>2427400</v>
      </c>
      <c r="Z537" s="127" t="s">
        <v>840</v>
      </c>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2"/>
      <c r="AV537" s="132"/>
      <c r="AW537" s="132"/>
      <c r="AX537" s="132"/>
      <c r="AY537" s="132"/>
      <c r="AZ537" s="132"/>
      <c r="BA537" s="132"/>
      <c r="BB537" s="132"/>
      <c r="BC537" s="132"/>
      <c r="BD537" s="132"/>
      <c r="BE537" s="132"/>
      <c r="BF537" s="132"/>
      <c r="BG537" s="132"/>
      <c r="BH537" s="132"/>
      <c r="BI537" s="132"/>
      <c r="BJ537" s="132"/>
      <c r="BK537" s="132"/>
      <c r="BL537" s="132"/>
      <c r="BM537" s="132"/>
      <c r="BN537" s="132"/>
      <c r="BO537" s="132"/>
      <c r="BP537" s="132"/>
      <c r="BQ537" s="132"/>
      <c r="BR537" s="132"/>
      <c r="BS537" s="132"/>
      <c r="BT537" s="132"/>
      <c r="BU537" s="132"/>
      <c r="BV537" s="132"/>
      <c r="BW537" s="132"/>
      <c r="BX537" s="132"/>
      <c r="BY537" s="132"/>
      <c r="BZ537" s="132"/>
      <c r="CA537" s="132"/>
      <c r="CB537" s="132"/>
      <c r="CC537" s="132"/>
      <c r="CD537" s="132"/>
      <c r="CE537" s="132"/>
      <c r="CF537" s="132"/>
      <c r="CG537" s="140"/>
    </row>
    <row r="538" spans="1:85" s="139" customFormat="1" ht="13.9" customHeight="1" x14ac:dyDescent="0.2">
      <c r="A538" s="208" t="s">
        <v>121</v>
      </c>
      <c r="B538" s="202">
        <v>4</v>
      </c>
      <c r="C538" s="203" t="s">
        <v>535</v>
      </c>
      <c r="D538" s="209" t="s">
        <v>122</v>
      </c>
      <c r="E538" s="210"/>
      <c r="F538" s="210">
        <v>100000000</v>
      </c>
      <c r="G538" s="210"/>
      <c r="H538" s="273" t="s">
        <v>1034</v>
      </c>
      <c r="I538" s="273" t="s">
        <v>1035</v>
      </c>
      <c r="J538" s="274">
        <v>8</v>
      </c>
      <c r="K538" s="274">
        <v>9</v>
      </c>
      <c r="L538" s="274">
        <v>2</v>
      </c>
      <c r="M538" s="185">
        <f t="shared" si="123"/>
        <v>1</v>
      </c>
      <c r="N538" s="193" t="s">
        <v>296</v>
      </c>
      <c r="O538" s="194" t="s">
        <v>904</v>
      </c>
      <c r="P538" s="211">
        <f t="shared" si="127"/>
        <v>1</v>
      </c>
      <c r="Q538" s="196">
        <f t="shared" si="128"/>
        <v>100000000</v>
      </c>
      <c r="R538" s="196">
        <f t="shared" si="129"/>
        <v>100000000</v>
      </c>
      <c r="S538" s="201" t="s">
        <v>217</v>
      </c>
      <c r="T538" s="211">
        <f t="shared" si="130"/>
        <v>0</v>
      </c>
      <c r="U538" s="198" t="str">
        <f t="shared" si="131"/>
        <v>SUBDIRECCION DE GESTION CONTRACTUAL</v>
      </c>
      <c r="V538" s="211" t="str">
        <f t="shared" si="132"/>
        <v>CO-DC</v>
      </c>
      <c r="W538" s="211" t="str">
        <f t="shared" si="133"/>
        <v>Distrito Capital de Bogotá</v>
      </c>
      <c r="X538" s="209" t="s">
        <v>839</v>
      </c>
      <c r="Y538" s="202">
        <v>2427400</v>
      </c>
      <c r="Z538" s="127" t="s">
        <v>840</v>
      </c>
      <c r="AA538" s="134"/>
      <c r="AB538" s="134"/>
      <c r="AC538" s="134"/>
      <c r="AD538" s="134"/>
      <c r="AE538" s="134"/>
      <c r="AF538" s="134"/>
      <c r="AG538" s="134"/>
      <c r="AH538" s="134"/>
      <c r="AI538" s="134"/>
      <c r="AJ538" s="134"/>
      <c r="AK538" s="134"/>
      <c r="AL538" s="134"/>
      <c r="AM538" s="134"/>
      <c r="AN538" s="134"/>
      <c r="AO538" s="134"/>
      <c r="AP538" s="134"/>
      <c r="AQ538" s="134"/>
      <c r="AR538" s="134"/>
      <c r="AS538" s="134"/>
      <c r="AT538" s="134"/>
      <c r="AU538" s="132"/>
      <c r="AV538" s="132"/>
      <c r="AW538" s="132"/>
      <c r="AX538" s="132"/>
      <c r="AY538" s="132"/>
      <c r="AZ538" s="132"/>
      <c r="BA538" s="132"/>
      <c r="BB538" s="132"/>
      <c r="BC538" s="132"/>
      <c r="BD538" s="132"/>
      <c r="BE538" s="132"/>
      <c r="BF538" s="132"/>
      <c r="BG538" s="132"/>
      <c r="BH538" s="132"/>
      <c r="BI538" s="132"/>
      <c r="BJ538" s="132"/>
      <c r="BK538" s="132"/>
      <c r="BL538" s="132"/>
      <c r="BM538" s="132"/>
      <c r="BN538" s="132"/>
      <c r="BO538" s="132"/>
      <c r="BP538" s="132"/>
      <c r="BQ538" s="132"/>
      <c r="BR538" s="132"/>
      <c r="BS538" s="132"/>
      <c r="BT538" s="132"/>
      <c r="BU538" s="132"/>
      <c r="BV538" s="132"/>
      <c r="BW538" s="132"/>
      <c r="BX538" s="132"/>
      <c r="BY538" s="132"/>
      <c r="BZ538" s="132"/>
      <c r="CA538" s="132"/>
      <c r="CB538" s="132"/>
      <c r="CC538" s="132"/>
      <c r="CD538" s="132"/>
      <c r="CE538" s="132"/>
      <c r="CF538" s="132"/>
      <c r="CG538" s="140"/>
    </row>
    <row r="539" spans="1:85" s="139" customFormat="1" ht="13.9" customHeight="1" x14ac:dyDescent="0.2">
      <c r="A539" s="208" t="s">
        <v>121</v>
      </c>
      <c r="B539" s="202">
        <v>5</v>
      </c>
      <c r="C539" s="203" t="s">
        <v>535</v>
      </c>
      <c r="D539" s="209" t="s">
        <v>122</v>
      </c>
      <c r="E539" s="210"/>
      <c r="F539" s="210">
        <v>4459914231</v>
      </c>
      <c r="G539" s="210"/>
      <c r="H539" s="209" t="s">
        <v>702</v>
      </c>
      <c r="I539" s="203" t="s">
        <v>838</v>
      </c>
      <c r="J539" s="202">
        <v>4</v>
      </c>
      <c r="K539" s="202">
        <v>5</v>
      </c>
      <c r="L539" s="202">
        <v>8</v>
      </c>
      <c r="M539" s="185">
        <f t="shared" si="123"/>
        <v>1</v>
      </c>
      <c r="N539" s="193" t="s">
        <v>36</v>
      </c>
      <c r="O539" s="194" t="s">
        <v>256</v>
      </c>
      <c r="P539" s="211">
        <f t="shared" si="127"/>
        <v>1</v>
      </c>
      <c r="Q539" s="196">
        <f t="shared" si="128"/>
        <v>4459914231</v>
      </c>
      <c r="R539" s="196">
        <f t="shared" si="129"/>
        <v>4459914231</v>
      </c>
      <c r="S539" s="201" t="s">
        <v>217</v>
      </c>
      <c r="T539" s="211">
        <f t="shared" si="130"/>
        <v>0</v>
      </c>
      <c r="U539" s="198" t="str">
        <f t="shared" si="131"/>
        <v>SUBDIRECCION DE GESTION CONTRACTUAL</v>
      </c>
      <c r="V539" s="211" t="str">
        <f t="shared" si="132"/>
        <v>CO-DC</v>
      </c>
      <c r="W539" s="211" t="str">
        <f t="shared" si="133"/>
        <v>Distrito Capital de Bogotá</v>
      </c>
      <c r="X539" s="209" t="s">
        <v>839</v>
      </c>
      <c r="Y539" s="202">
        <v>2427400</v>
      </c>
      <c r="Z539" s="127" t="s">
        <v>840</v>
      </c>
      <c r="AA539" s="134"/>
      <c r="AB539" s="134"/>
      <c r="AC539" s="134"/>
      <c r="AD539" s="134"/>
      <c r="AE539" s="134"/>
      <c r="AF539" s="134"/>
      <c r="AG539" s="134"/>
      <c r="AH539" s="134"/>
      <c r="AI539" s="134"/>
      <c r="AJ539" s="134"/>
      <c r="AK539" s="134"/>
      <c r="AL539" s="134"/>
      <c r="AM539" s="134"/>
      <c r="AN539" s="134"/>
      <c r="AO539" s="134"/>
      <c r="AP539" s="134"/>
      <c r="AQ539" s="134"/>
      <c r="AR539" s="134"/>
      <c r="AS539" s="134"/>
      <c r="AT539" s="134"/>
      <c r="AU539" s="132"/>
      <c r="AV539" s="132"/>
      <c r="AW539" s="132"/>
      <c r="AX539" s="132"/>
      <c r="AY539" s="132"/>
      <c r="AZ539" s="132"/>
      <c r="BA539" s="132"/>
      <c r="BB539" s="132"/>
      <c r="BC539" s="132"/>
      <c r="BD539" s="132"/>
      <c r="BE539" s="132"/>
      <c r="BF539" s="132"/>
      <c r="BG539" s="132"/>
      <c r="BH539" s="132"/>
      <c r="BI539" s="132"/>
      <c r="BJ539" s="132"/>
      <c r="BK539" s="132"/>
      <c r="BL539" s="132"/>
      <c r="BM539" s="132"/>
      <c r="BN539" s="132"/>
      <c r="BO539" s="132"/>
      <c r="BP539" s="132"/>
      <c r="BQ539" s="132"/>
      <c r="BR539" s="132"/>
      <c r="BS539" s="132"/>
      <c r="BT539" s="132"/>
      <c r="BU539" s="132"/>
      <c r="BV539" s="132"/>
      <c r="BW539" s="132"/>
      <c r="BX539" s="132"/>
      <c r="BY539" s="132"/>
      <c r="BZ539" s="132"/>
      <c r="CA539" s="132"/>
      <c r="CB539" s="132"/>
      <c r="CC539" s="132"/>
      <c r="CD539" s="132"/>
      <c r="CE539" s="132"/>
      <c r="CF539" s="132"/>
      <c r="CG539" s="140"/>
    </row>
    <row r="540" spans="1:85" s="7" customFormat="1" ht="12.75" customHeight="1" x14ac:dyDescent="0.2">
      <c r="A540" s="208" t="s">
        <v>121</v>
      </c>
      <c r="B540" s="202">
        <v>6</v>
      </c>
      <c r="C540" s="203" t="s">
        <v>535</v>
      </c>
      <c r="D540" s="209" t="s">
        <v>122</v>
      </c>
      <c r="E540" s="210"/>
      <c r="F540" s="210">
        <v>100000000</v>
      </c>
      <c r="G540" s="210"/>
      <c r="H540" s="209" t="s">
        <v>131</v>
      </c>
      <c r="I540" s="203" t="s">
        <v>435</v>
      </c>
      <c r="J540" s="202">
        <v>2</v>
      </c>
      <c r="K540" s="202">
        <v>3</v>
      </c>
      <c r="L540" s="202">
        <v>9</v>
      </c>
      <c r="M540" s="185">
        <f t="shared" si="123"/>
        <v>1</v>
      </c>
      <c r="N540" s="193" t="s">
        <v>53</v>
      </c>
      <c r="O540" s="194" t="s">
        <v>54</v>
      </c>
      <c r="P540" s="211">
        <f t="shared" si="127"/>
        <v>1</v>
      </c>
      <c r="Q540" s="196">
        <f t="shared" si="128"/>
        <v>100000000</v>
      </c>
      <c r="R540" s="196">
        <f t="shared" si="129"/>
        <v>100000000</v>
      </c>
      <c r="S540" s="201" t="s">
        <v>217</v>
      </c>
      <c r="T540" s="211">
        <f t="shared" si="130"/>
        <v>0</v>
      </c>
      <c r="U540" s="198" t="str">
        <f t="shared" si="131"/>
        <v>SUBDIRECCION DE GESTION CONTRACTUAL</v>
      </c>
      <c r="V540" s="211" t="str">
        <f t="shared" si="132"/>
        <v>CO-DC</v>
      </c>
      <c r="W540" s="211" t="str">
        <f t="shared" si="133"/>
        <v>Distrito Capital de Bogotá</v>
      </c>
      <c r="X540" s="209" t="s">
        <v>839</v>
      </c>
      <c r="Y540" s="202">
        <v>2427400</v>
      </c>
      <c r="Z540" s="127" t="s">
        <v>840</v>
      </c>
    </row>
    <row r="541" spans="1:85" s="139" customFormat="1" ht="13.9" customHeight="1" x14ac:dyDescent="0.2">
      <c r="A541" s="208" t="s">
        <v>121</v>
      </c>
      <c r="B541" s="202">
        <v>7</v>
      </c>
      <c r="C541" s="203" t="s">
        <v>123</v>
      </c>
      <c r="D541" s="209" t="s">
        <v>130</v>
      </c>
      <c r="E541" s="210"/>
      <c r="F541" s="210">
        <v>436360</v>
      </c>
      <c r="G541" s="210"/>
      <c r="H541" s="209" t="s">
        <v>131</v>
      </c>
      <c r="I541" s="203" t="s">
        <v>435</v>
      </c>
      <c r="J541" s="202">
        <v>2</v>
      </c>
      <c r="K541" s="202">
        <v>3</v>
      </c>
      <c r="L541" s="202">
        <v>9</v>
      </c>
      <c r="M541" s="185">
        <f t="shared" si="123"/>
        <v>1</v>
      </c>
      <c r="N541" s="193" t="s">
        <v>53</v>
      </c>
      <c r="O541" s="194" t="s">
        <v>54</v>
      </c>
      <c r="P541" s="211">
        <f t="shared" si="127"/>
        <v>1</v>
      </c>
      <c r="Q541" s="196">
        <f t="shared" si="128"/>
        <v>436360</v>
      </c>
      <c r="R541" s="196">
        <f t="shared" si="129"/>
        <v>436360</v>
      </c>
      <c r="S541" s="201" t="s">
        <v>217</v>
      </c>
      <c r="T541" s="211">
        <f t="shared" si="130"/>
        <v>0</v>
      </c>
      <c r="U541" s="198" t="str">
        <f t="shared" si="131"/>
        <v>SUBDIRECCION DE GESTION CONTRACTUAL</v>
      </c>
      <c r="V541" s="211" t="str">
        <f t="shared" si="132"/>
        <v>CO-DC</v>
      </c>
      <c r="W541" s="211" t="str">
        <f t="shared" si="133"/>
        <v>Distrito Capital de Bogotá</v>
      </c>
      <c r="X541" s="209" t="s">
        <v>436</v>
      </c>
      <c r="Y541" s="202">
        <v>2427400</v>
      </c>
      <c r="Z541" s="212" t="s">
        <v>125</v>
      </c>
      <c r="AA541" s="134"/>
      <c r="AB541" s="134"/>
      <c r="AC541" s="134"/>
      <c r="AD541" s="134"/>
      <c r="AE541" s="134"/>
      <c r="AF541" s="134"/>
      <c r="AG541" s="134"/>
      <c r="AH541" s="134"/>
      <c r="AI541" s="134"/>
      <c r="AJ541" s="134"/>
      <c r="AK541" s="134"/>
      <c r="AL541" s="134"/>
      <c r="AM541" s="134"/>
      <c r="AN541" s="134"/>
      <c r="AO541" s="134"/>
      <c r="AP541" s="134"/>
      <c r="AQ541" s="134"/>
      <c r="AR541" s="134"/>
      <c r="AS541" s="134"/>
      <c r="AT541" s="134"/>
      <c r="AU541" s="132"/>
      <c r="AV541" s="132"/>
      <c r="AW541" s="132"/>
      <c r="AX541" s="132"/>
      <c r="AY541" s="132"/>
      <c r="AZ541" s="132"/>
      <c r="BA541" s="132"/>
      <c r="BB541" s="132"/>
      <c r="BC541" s="132"/>
      <c r="BD541" s="132"/>
      <c r="BE541" s="132"/>
      <c r="BF541" s="132"/>
      <c r="BG541" s="132"/>
      <c r="BH541" s="132"/>
      <c r="BI541" s="132"/>
      <c r="BJ541" s="132"/>
      <c r="BK541" s="132"/>
      <c r="BL541" s="132"/>
      <c r="BM541" s="132"/>
      <c r="BN541" s="132"/>
      <c r="BO541" s="132"/>
      <c r="BP541" s="132"/>
      <c r="BQ541" s="132"/>
      <c r="BR541" s="132"/>
      <c r="BS541" s="132"/>
      <c r="BT541" s="132"/>
      <c r="BU541" s="132"/>
      <c r="BV541" s="132"/>
      <c r="BW541" s="132"/>
      <c r="BX541" s="132"/>
      <c r="BY541" s="132"/>
      <c r="BZ541" s="132"/>
      <c r="CA541" s="132"/>
      <c r="CB541" s="132"/>
      <c r="CC541" s="132"/>
      <c r="CD541" s="132"/>
      <c r="CE541" s="132"/>
      <c r="CF541" s="132"/>
      <c r="CG541" s="140"/>
    </row>
    <row r="542" spans="1:85" s="139" customFormat="1" ht="13.9" customHeight="1" x14ac:dyDescent="0.2">
      <c r="A542" s="208" t="s">
        <v>121</v>
      </c>
      <c r="B542" s="202">
        <v>8</v>
      </c>
      <c r="C542" s="203" t="s">
        <v>123</v>
      </c>
      <c r="D542" s="209" t="s">
        <v>127</v>
      </c>
      <c r="E542" s="210"/>
      <c r="F542" s="210">
        <v>39548424</v>
      </c>
      <c r="G542" s="210"/>
      <c r="H542" s="209" t="s">
        <v>131</v>
      </c>
      <c r="I542" s="203" t="s">
        <v>435</v>
      </c>
      <c r="J542" s="202">
        <v>2</v>
      </c>
      <c r="K542" s="202">
        <v>3</v>
      </c>
      <c r="L542" s="202">
        <v>9</v>
      </c>
      <c r="M542" s="185">
        <f t="shared" si="123"/>
        <v>1</v>
      </c>
      <c r="N542" s="193" t="s">
        <v>53</v>
      </c>
      <c r="O542" s="194" t="s">
        <v>54</v>
      </c>
      <c r="P542" s="211">
        <f t="shared" si="127"/>
        <v>1</v>
      </c>
      <c r="Q542" s="196">
        <f t="shared" si="128"/>
        <v>39548424</v>
      </c>
      <c r="R542" s="196">
        <f t="shared" si="129"/>
        <v>39548424</v>
      </c>
      <c r="S542" s="201" t="s">
        <v>217</v>
      </c>
      <c r="T542" s="211">
        <f t="shared" si="130"/>
        <v>0</v>
      </c>
      <c r="U542" s="198" t="str">
        <f t="shared" si="131"/>
        <v>SUBDIRECCION DE GESTION CONTRACTUAL</v>
      </c>
      <c r="V542" s="211" t="str">
        <f t="shared" si="132"/>
        <v>CO-DC</v>
      </c>
      <c r="W542" s="211" t="str">
        <f t="shared" si="133"/>
        <v>Distrito Capital de Bogotá</v>
      </c>
      <c r="X542" s="209" t="s">
        <v>436</v>
      </c>
      <c r="Y542" s="202">
        <v>2427400</v>
      </c>
      <c r="Z542" s="212" t="s">
        <v>125</v>
      </c>
      <c r="AA542" s="134"/>
      <c r="AB542" s="134"/>
      <c r="AC542" s="134"/>
      <c r="AD542" s="134"/>
      <c r="AE542" s="134"/>
      <c r="AF542" s="134"/>
      <c r="AG542" s="134"/>
      <c r="AH542" s="134"/>
      <c r="AI542" s="134"/>
      <c r="AJ542" s="134"/>
      <c r="AK542" s="134"/>
      <c r="AL542" s="134"/>
      <c r="AM542" s="134"/>
      <c r="AN542" s="134"/>
      <c r="AO542" s="134"/>
      <c r="AP542" s="134"/>
      <c r="AQ542" s="134"/>
      <c r="AR542" s="134"/>
      <c r="AS542" s="134"/>
      <c r="AT542" s="134"/>
      <c r="AU542" s="132"/>
      <c r="AV542" s="132"/>
      <c r="AW542" s="132"/>
      <c r="AX542" s="132"/>
      <c r="AY542" s="132"/>
      <c r="AZ542" s="132"/>
      <c r="BA542" s="132"/>
      <c r="BB542" s="132"/>
      <c r="BC542" s="132"/>
      <c r="BD542" s="132"/>
      <c r="BE542" s="132"/>
      <c r="BF542" s="132"/>
      <c r="BG542" s="132"/>
      <c r="BH542" s="132"/>
      <c r="BI542" s="132"/>
      <c r="BJ542" s="132"/>
      <c r="BK542" s="140"/>
    </row>
    <row r="543" spans="1:85" s="139" customFormat="1" ht="13.9" customHeight="1" x14ac:dyDescent="0.2">
      <c r="A543" s="208" t="s">
        <v>121</v>
      </c>
      <c r="B543" s="202">
        <v>9</v>
      </c>
      <c r="C543" s="203" t="s">
        <v>123</v>
      </c>
      <c r="D543" s="209" t="s">
        <v>132</v>
      </c>
      <c r="E543" s="210"/>
      <c r="F543" s="210">
        <v>16760190</v>
      </c>
      <c r="G543" s="210"/>
      <c r="H543" s="209" t="s">
        <v>131</v>
      </c>
      <c r="I543" s="203" t="s">
        <v>435</v>
      </c>
      <c r="J543" s="202">
        <v>2</v>
      </c>
      <c r="K543" s="202">
        <v>3</v>
      </c>
      <c r="L543" s="202">
        <v>9</v>
      </c>
      <c r="M543" s="185">
        <f t="shared" si="123"/>
        <v>1</v>
      </c>
      <c r="N543" s="193" t="s">
        <v>53</v>
      </c>
      <c r="O543" s="194" t="s">
        <v>54</v>
      </c>
      <c r="P543" s="211">
        <f t="shared" si="127"/>
        <v>1</v>
      </c>
      <c r="Q543" s="196">
        <f t="shared" si="128"/>
        <v>16760190</v>
      </c>
      <c r="R543" s="196">
        <f t="shared" si="129"/>
        <v>16760190</v>
      </c>
      <c r="S543" s="201" t="s">
        <v>217</v>
      </c>
      <c r="T543" s="211">
        <f t="shared" si="130"/>
        <v>0</v>
      </c>
      <c r="U543" s="198" t="str">
        <f t="shared" si="131"/>
        <v>SUBDIRECCION DE GESTION CONTRACTUAL</v>
      </c>
      <c r="V543" s="211" t="str">
        <f t="shared" si="132"/>
        <v>CO-DC</v>
      </c>
      <c r="W543" s="211" t="str">
        <f t="shared" si="133"/>
        <v>Distrito Capital de Bogotá</v>
      </c>
      <c r="X543" s="209" t="s">
        <v>436</v>
      </c>
      <c r="Y543" s="202">
        <v>2427400</v>
      </c>
      <c r="Z543" s="212" t="s">
        <v>125</v>
      </c>
      <c r="AA543" s="134"/>
      <c r="AB543" s="134"/>
      <c r="AC543" s="134"/>
      <c r="AD543" s="134"/>
      <c r="AE543" s="134"/>
      <c r="AF543" s="134"/>
      <c r="AG543" s="134"/>
      <c r="AH543" s="134"/>
      <c r="AI543" s="134"/>
      <c r="AJ543" s="134"/>
      <c r="AK543" s="134"/>
      <c r="AL543" s="134"/>
      <c r="AM543" s="134"/>
      <c r="AN543" s="134"/>
      <c r="AO543" s="134"/>
      <c r="AP543" s="134"/>
      <c r="AQ543" s="134"/>
      <c r="AR543" s="134"/>
      <c r="AS543" s="134"/>
      <c r="AT543" s="134"/>
      <c r="AU543" s="132"/>
      <c r="AV543" s="132"/>
      <c r="AW543" s="132"/>
      <c r="AX543" s="132"/>
      <c r="AY543" s="132"/>
      <c r="AZ543" s="132"/>
      <c r="BA543" s="132"/>
      <c r="BB543" s="132"/>
      <c r="BC543" s="132"/>
      <c r="BD543" s="132"/>
      <c r="BE543" s="132"/>
      <c r="BF543" s="132"/>
      <c r="BG543" s="132"/>
      <c r="BH543" s="132"/>
      <c r="BI543" s="132"/>
      <c r="BJ543" s="132"/>
      <c r="BK543" s="140"/>
    </row>
    <row r="544" spans="1:85" s="139" customFormat="1" ht="13.9" customHeight="1" x14ac:dyDescent="0.2">
      <c r="A544" s="208" t="s">
        <v>121</v>
      </c>
      <c r="B544" s="202">
        <v>10</v>
      </c>
      <c r="C544" s="203" t="s">
        <v>123</v>
      </c>
      <c r="D544" s="209" t="s">
        <v>133</v>
      </c>
      <c r="E544" s="210"/>
      <c r="F544" s="210">
        <v>15925909</v>
      </c>
      <c r="G544" s="210"/>
      <c r="H544" s="209" t="s">
        <v>131</v>
      </c>
      <c r="I544" s="203" t="s">
        <v>435</v>
      </c>
      <c r="J544" s="202">
        <v>2</v>
      </c>
      <c r="K544" s="202">
        <v>3</v>
      </c>
      <c r="L544" s="202">
        <v>9</v>
      </c>
      <c r="M544" s="185">
        <f t="shared" si="123"/>
        <v>1</v>
      </c>
      <c r="N544" s="193" t="s">
        <v>53</v>
      </c>
      <c r="O544" s="194" t="s">
        <v>54</v>
      </c>
      <c r="P544" s="211">
        <f t="shared" si="127"/>
        <v>1</v>
      </c>
      <c r="Q544" s="196">
        <f t="shared" si="128"/>
        <v>15925909</v>
      </c>
      <c r="R544" s="196">
        <f t="shared" si="129"/>
        <v>15925909</v>
      </c>
      <c r="S544" s="201" t="s">
        <v>217</v>
      </c>
      <c r="T544" s="211">
        <f t="shared" si="130"/>
        <v>0</v>
      </c>
      <c r="U544" s="198" t="str">
        <f t="shared" si="131"/>
        <v>SUBDIRECCION DE GESTION CONTRACTUAL</v>
      </c>
      <c r="V544" s="211" t="str">
        <f t="shared" si="132"/>
        <v>CO-DC</v>
      </c>
      <c r="W544" s="211" t="str">
        <f t="shared" si="133"/>
        <v>Distrito Capital de Bogotá</v>
      </c>
      <c r="X544" s="209" t="s">
        <v>436</v>
      </c>
      <c r="Y544" s="202">
        <v>2427400</v>
      </c>
      <c r="Z544" s="212" t="s">
        <v>125</v>
      </c>
      <c r="AA544" s="134"/>
      <c r="AB544" s="134"/>
      <c r="AC544" s="134"/>
      <c r="AD544" s="134"/>
      <c r="AE544" s="134"/>
      <c r="AF544" s="134"/>
      <c r="AG544" s="134"/>
      <c r="AH544" s="134"/>
      <c r="AI544" s="134"/>
      <c r="AJ544" s="134"/>
      <c r="AK544" s="134"/>
      <c r="AL544" s="134"/>
      <c r="AM544" s="134"/>
      <c r="AN544" s="134"/>
      <c r="AO544" s="134"/>
      <c r="AP544" s="134"/>
      <c r="AQ544" s="134"/>
      <c r="AR544" s="134"/>
      <c r="AS544" s="134"/>
      <c r="AT544" s="134"/>
      <c r="AU544" s="132"/>
      <c r="AV544" s="132"/>
      <c r="AW544" s="132"/>
      <c r="AX544" s="132"/>
      <c r="AY544" s="132"/>
      <c r="AZ544" s="132"/>
      <c r="BA544" s="132"/>
      <c r="BB544" s="132"/>
      <c r="BC544" s="132"/>
      <c r="BD544" s="132"/>
      <c r="BE544" s="132"/>
      <c r="BF544" s="132"/>
      <c r="BG544" s="132"/>
      <c r="BH544" s="132"/>
      <c r="BI544" s="132"/>
      <c r="BJ544" s="132"/>
      <c r="BK544" s="140"/>
    </row>
    <row r="545" spans="1:85" s="139" customFormat="1" ht="13.9" customHeight="1" x14ac:dyDescent="0.2">
      <c r="A545" s="208" t="s">
        <v>121</v>
      </c>
      <c r="B545" s="202">
        <v>11</v>
      </c>
      <c r="C545" s="203" t="s">
        <v>123</v>
      </c>
      <c r="D545" s="209" t="s">
        <v>134</v>
      </c>
      <c r="E545" s="210"/>
      <c r="F545" s="210">
        <v>25099427</v>
      </c>
      <c r="G545" s="210"/>
      <c r="H545" s="209" t="s">
        <v>131</v>
      </c>
      <c r="I545" s="203" t="s">
        <v>435</v>
      </c>
      <c r="J545" s="202">
        <v>2</v>
      </c>
      <c r="K545" s="202">
        <v>3</v>
      </c>
      <c r="L545" s="202">
        <v>9</v>
      </c>
      <c r="M545" s="185">
        <f t="shared" si="123"/>
        <v>1</v>
      </c>
      <c r="N545" s="193" t="s">
        <v>53</v>
      </c>
      <c r="O545" s="194" t="s">
        <v>54</v>
      </c>
      <c r="P545" s="211">
        <f t="shared" si="127"/>
        <v>1</v>
      </c>
      <c r="Q545" s="196">
        <f t="shared" si="128"/>
        <v>25099427</v>
      </c>
      <c r="R545" s="196">
        <f t="shared" si="129"/>
        <v>25099427</v>
      </c>
      <c r="S545" s="201" t="s">
        <v>217</v>
      </c>
      <c r="T545" s="211">
        <f t="shared" si="130"/>
        <v>0</v>
      </c>
      <c r="U545" s="198" t="str">
        <f t="shared" si="131"/>
        <v>SUBDIRECCION DE GESTION CONTRACTUAL</v>
      </c>
      <c r="V545" s="211" t="str">
        <f t="shared" si="132"/>
        <v>CO-DC</v>
      </c>
      <c r="W545" s="211" t="str">
        <f t="shared" si="133"/>
        <v>Distrito Capital de Bogotá</v>
      </c>
      <c r="X545" s="209" t="s">
        <v>436</v>
      </c>
      <c r="Y545" s="202">
        <v>2427400</v>
      </c>
      <c r="Z545" s="212" t="s">
        <v>125</v>
      </c>
      <c r="AA545" s="134"/>
      <c r="AB545" s="134"/>
      <c r="AC545" s="134"/>
      <c r="AD545" s="134"/>
      <c r="AE545" s="134"/>
      <c r="AF545" s="134"/>
      <c r="AG545" s="134"/>
      <c r="AH545" s="134"/>
      <c r="AI545" s="134"/>
      <c r="AJ545" s="134"/>
      <c r="AK545" s="134"/>
      <c r="AL545" s="134"/>
      <c r="AM545" s="134"/>
      <c r="AN545" s="134"/>
      <c r="AO545" s="134"/>
      <c r="AP545" s="134"/>
      <c r="AQ545" s="134"/>
      <c r="AR545" s="134"/>
      <c r="AS545" s="134"/>
      <c r="AT545" s="134"/>
      <c r="AU545" s="132"/>
      <c r="AV545" s="132"/>
      <c r="AW545" s="132"/>
      <c r="AX545" s="132"/>
      <c r="AY545" s="132"/>
      <c r="AZ545" s="132"/>
      <c r="BA545" s="132"/>
      <c r="BB545" s="132"/>
      <c r="BC545" s="132"/>
      <c r="BD545" s="132"/>
      <c r="BE545" s="132"/>
      <c r="BF545" s="132"/>
      <c r="BG545" s="132"/>
      <c r="BH545" s="132"/>
      <c r="BI545" s="132"/>
      <c r="BJ545" s="132"/>
      <c r="BK545" s="140"/>
    </row>
    <row r="546" spans="1:85" s="139" customFormat="1" ht="13.9" customHeight="1" x14ac:dyDescent="0.2">
      <c r="A546" s="208" t="s">
        <v>121</v>
      </c>
      <c r="B546" s="202">
        <v>12</v>
      </c>
      <c r="C546" s="203" t="s">
        <v>123</v>
      </c>
      <c r="D546" s="209" t="s">
        <v>135</v>
      </c>
      <c r="E546" s="210"/>
      <c r="F546" s="210">
        <v>37659348</v>
      </c>
      <c r="G546" s="210"/>
      <c r="H546" s="209" t="s">
        <v>131</v>
      </c>
      <c r="I546" s="203" t="s">
        <v>435</v>
      </c>
      <c r="J546" s="202">
        <v>2</v>
      </c>
      <c r="K546" s="202">
        <v>3</v>
      </c>
      <c r="L546" s="202">
        <v>9</v>
      </c>
      <c r="M546" s="185">
        <f t="shared" si="123"/>
        <v>1</v>
      </c>
      <c r="N546" s="193" t="s">
        <v>53</v>
      </c>
      <c r="O546" s="194" t="s">
        <v>54</v>
      </c>
      <c r="P546" s="211">
        <f t="shared" si="127"/>
        <v>1</v>
      </c>
      <c r="Q546" s="196">
        <f t="shared" si="128"/>
        <v>37659348</v>
      </c>
      <c r="R546" s="196">
        <f t="shared" si="129"/>
        <v>37659348</v>
      </c>
      <c r="S546" s="201" t="s">
        <v>217</v>
      </c>
      <c r="T546" s="211">
        <f t="shared" si="130"/>
        <v>0</v>
      </c>
      <c r="U546" s="198" t="str">
        <f t="shared" si="131"/>
        <v>SUBDIRECCION DE GESTION CONTRACTUAL</v>
      </c>
      <c r="V546" s="211" t="str">
        <f t="shared" si="132"/>
        <v>CO-DC</v>
      </c>
      <c r="W546" s="211" t="str">
        <f t="shared" si="133"/>
        <v>Distrito Capital de Bogotá</v>
      </c>
      <c r="X546" s="209" t="s">
        <v>436</v>
      </c>
      <c r="Y546" s="202">
        <v>2427400</v>
      </c>
      <c r="Z546" s="212" t="s">
        <v>125</v>
      </c>
      <c r="AA546" s="134"/>
      <c r="AB546" s="134"/>
      <c r="AC546" s="134"/>
      <c r="AD546" s="134"/>
      <c r="AE546" s="134"/>
      <c r="AF546" s="134"/>
      <c r="AG546" s="134"/>
      <c r="AH546" s="134"/>
      <c r="AI546" s="134"/>
      <c r="AJ546" s="134"/>
      <c r="AK546" s="134"/>
      <c r="AL546" s="134"/>
      <c r="AM546" s="134"/>
      <c r="AN546" s="134"/>
      <c r="AO546" s="134"/>
      <c r="AP546" s="134"/>
      <c r="AQ546" s="134"/>
      <c r="AR546" s="134"/>
      <c r="AS546" s="134"/>
      <c r="AT546" s="134"/>
      <c r="AU546" s="132"/>
      <c r="AV546" s="132"/>
      <c r="AW546" s="132"/>
      <c r="AX546" s="132"/>
      <c r="AY546" s="132"/>
      <c r="AZ546" s="132"/>
      <c r="BA546" s="132"/>
      <c r="BB546" s="132"/>
      <c r="BC546" s="132"/>
      <c r="BD546" s="132"/>
      <c r="BE546" s="132"/>
      <c r="BF546" s="132"/>
      <c r="BG546" s="132"/>
      <c r="BH546" s="132"/>
      <c r="BI546" s="132"/>
      <c r="BJ546" s="132"/>
      <c r="BK546" s="140"/>
    </row>
    <row r="547" spans="1:85" s="139" customFormat="1" ht="13.9" customHeight="1" x14ac:dyDescent="0.2">
      <c r="A547" s="208" t="s">
        <v>121</v>
      </c>
      <c r="B547" s="202">
        <v>13</v>
      </c>
      <c r="C547" s="203" t="s">
        <v>123</v>
      </c>
      <c r="D547" s="209" t="s">
        <v>50</v>
      </c>
      <c r="E547" s="210"/>
      <c r="F547" s="210">
        <f>15000000-15000000</f>
        <v>0</v>
      </c>
      <c r="G547" s="210"/>
      <c r="H547" s="209" t="s">
        <v>51</v>
      </c>
      <c r="I547" s="203" t="s">
        <v>933</v>
      </c>
      <c r="J547" s="202">
        <v>4</v>
      </c>
      <c r="K547" s="202">
        <v>6</v>
      </c>
      <c r="L547" s="202">
        <v>1</v>
      </c>
      <c r="M547" s="185">
        <v>1</v>
      </c>
      <c r="N547" s="193" t="s">
        <v>43</v>
      </c>
      <c r="O547" s="194" t="s">
        <v>44</v>
      </c>
      <c r="P547" s="211">
        <v>1</v>
      </c>
      <c r="Q547" s="196">
        <f t="shared" si="128"/>
        <v>0</v>
      </c>
      <c r="R547" s="196">
        <f t="shared" si="129"/>
        <v>0</v>
      </c>
      <c r="S547" s="201" t="s">
        <v>217</v>
      </c>
      <c r="T547" s="211">
        <v>0</v>
      </c>
      <c r="U547" s="198" t="s">
        <v>37</v>
      </c>
      <c r="V547" s="211" t="s">
        <v>39</v>
      </c>
      <c r="W547" s="211" t="s">
        <v>38</v>
      </c>
      <c r="X547" s="209" t="s">
        <v>73</v>
      </c>
      <c r="Y547" s="202">
        <v>2427400</v>
      </c>
      <c r="Z547" s="212" t="s">
        <v>74</v>
      </c>
      <c r="AA547" s="134"/>
      <c r="AB547" s="134"/>
      <c r="AC547" s="134"/>
      <c r="AD547" s="134"/>
      <c r="AE547" s="134"/>
      <c r="AF547" s="134"/>
      <c r="AG547" s="134"/>
      <c r="AH547" s="134"/>
      <c r="AI547" s="134"/>
      <c r="AJ547" s="134"/>
      <c r="AK547" s="134"/>
      <c r="AL547" s="134"/>
      <c r="AM547" s="134"/>
      <c r="AN547" s="134"/>
      <c r="AO547" s="134"/>
      <c r="AP547" s="134"/>
      <c r="AQ547" s="134"/>
      <c r="AR547" s="134"/>
      <c r="AS547" s="134"/>
      <c r="AT547" s="134"/>
      <c r="AU547" s="132"/>
      <c r="AV547" s="132"/>
      <c r="AW547" s="132"/>
      <c r="AX547" s="132"/>
      <c r="AY547" s="132"/>
      <c r="AZ547" s="132"/>
      <c r="BA547" s="132"/>
      <c r="BB547" s="132"/>
      <c r="BC547" s="132"/>
      <c r="BD547" s="132"/>
      <c r="BE547" s="132"/>
      <c r="BF547" s="132"/>
      <c r="BG547" s="132"/>
      <c r="BH547" s="132"/>
      <c r="BI547" s="132"/>
      <c r="BJ547" s="132"/>
      <c r="BK547" s="140"/>
    </row>
    <row r="548" spans="1:85" s="135" customFormat="1" ht="27" customHeight="1" x14ac:dyDescent="0.2">
      <c r="A548" s="256" t="s">
        <v>121</v>
      </c>
      <c r="B548" s="202">
        <v>14</v>
      </c>
      <c r="C548" s="275" t="s">
        <v>123</v>
      </c>
      <c r="D548" s="209" t="s">
        <v>52</v>
      </c>
      <c r="E548" s="210">
        <v>35200000</v>
      </c>
      <c r="F548" s="210">
        <f>188571850+52198070</f>
        <v>240769920</v>
      </c>
      <c r="G548" s="210"/>
      <c r="H548" s="209" t="s">
        <v>126</v>
      </c>
      <c r="I548" s="203" t="s">
        <v>437</v>
      </c>
      <c r="J548" s="202">
        <v>1</v>
      </c>
      <c r="K548" s="202">
        <v>1</v>
      </c>
      <c r="L548" s="202">
        <v>10</v>
      </c>
      <c r="M548" s="185">
        <f t="shared" ref="M548:M579" si="134">IF(ISBLANK(J548),"",1)</f>
        <v>1</v>
      </c>
      <c r="N548" s="193" t="s">
        <v>53</v>
      </c>
      <c r="O548" s="194" t="s">
        <v>54</v>
      </c>
      <c r="P548" s="211">
        <f t="shared" ref="P548:P586" si="135">IF(ISBLANK(N548),"",1)</f>
        <v>1</v>
      </c>
      <c r="Q548" s="196">
        <f t="shared" si="128"/>
        <v>275969920</v>
      </c>
      <c r="R548" s="196">
        <f t="shared" si="129"/>
        <v>240769920</v>
      </c>
      <c r="S548" s="201">
        <v>0</v>
      </c>
      <c r="T548" s="211">
        <f t="shared" ref="T548:T586" si="136">IF(ISBLANK(S548),"",IF(VALUE(S548)=0,0,IF(VALUE(S548)=1,3,"")))</f>
        <v>0</v>
      </c>
      <c r="U548" s="198" t="str">
        <f t="shared" ref="U548:U579" si="137">IF(ISBLANK(N548),"","SUBDIRECCION DE GESTION CONTRACTUAL")</f>
        <v>SUBDIRECCION DE GESTION CONTRACTUAL</v>
      </c>
      <c r="V548" s="211" t="str">
        <f t="shared" ref="V548:V579" si="138">IF(ISBLANK(N548),"","CO-DC")</f>
        <v>CO-DC</v>
      </c>
      <c r="W548" s="211" t="str">
        <f t="shared" ref="W548:W579" si="139">IF(ISBLANK(N548),"","Distrito Capital de Bogotá")</f>
        <v>Distrito Capital de Bogotá</v>
      </c>
      <c r="X548" s="209" t="s">
        <v>436</v>
      </c>
      <c r="Y548" s="202">
        <v>2427400</v>
      </c>
      <c r="Z548" s="276" t="s">
        <v>125</v>
      </c>
    </row>
    <row r="549" spans="1:85" s="135" customFormat="1" ht="21.75" customHeight="1" x14ac:dyDescent="0.2">
      <c r="A549" s="256" t="s">
        <v>121</v>
      </c>
      <c r="B549" s="202">
        <v>15</v>
      </c>
      <c r="C549" s="203" t="s">
        <v>123</v>
      </c>
      <c r="D549" s="209" t="s">
        <v>52</v>
      </c>
      <c r="E549" s="210"/>
      <c r="F549" s="210">
        <v>40000000</v>
      </c>
      <c r="G549" s="210"/>
      <c r="H549" s="209" t="s">
        <v>126</v>
      </c>
      <c r="I549" s="203" t="s">
        <v>438</v>
      </c>
      <c r="J549" s="202">
        <v>10</v>
      </c>
      <c r="K549" s="202">
        <v>10</v>
      </c>
      <c r="L549" s="202">
        <v>12</v>
      </c>
      <c r="M549" s="185">
        <f t="shared" si="134"/>
        <v>1</v>
      </c>
      <c r="N549" s="193" t="s">
        <v>53</v>
      </c>
      <c r="O549" s="194" t="s">
        <v>54</v>
      </c>
      <c r="P549" s="211">
        <f t="shared" si="135"/>
        <v>1</v>
      </c>
      <c r="Q549" s="196">
        <f t="shared" si="128"/>
        <v>40000000</v>
      </c>
      <c r="R549" s="196">
        <f t="shared" si="129"/>
        <v>40000000</v>
      </c>
      <c r="S549" s="201" t="s">
        <v>217</v>
      </c>
      <c r="T549" s="211">
        <f t="shared" si="136"/>
        <v>0</v>
      </c>
      <c r="U549" s="198" t="str">
        <f t="shared" si="137"/>
        <v>SUBDIRECCION DE GESTION CONTRACTUAL</v>
      </c>
      <c r="V549" s="211" t="str">
        <f t="shared" si="138"/>
        <v>CO-DC</v>
      </c>
      <c r="W549" s="211" t="str">
        <f t="shared" si="139"/>
        <v>Distrito Capital de Bogotá</v>
      </c>
      <c r="X549" s="209" t="s">
        <v>436</v>
      </c>
      <c r="Y549" s="202">
        <v>2427400</v>
      </c>
      <c r="Z549" s="276" t="s">
        <v>125</v>
      </c>
    </row>
    <row r="550" spans="1:85" s="135" customFormat="1" ht="15" customHeight="1" x14ac:dyDescent="0.2">
      <c r="A550" s="256" t="s">
        <v>121</v>
      </c>
      <c r="B550" s="202">
        <v>16</v>
      </c>
      <c r="C550" s="203" t="s">
        <v>123</v>
      </c>
      <c r="D550" s="209" t="s">
        <v>52</v>
      </c>
      <c r="E550" s="210"/>
      <c r="F550" s="210">
        <v>54545000</v>
      </c>
      <c r="G550" s="210"/>
      <c r="H550" s="209" t="s">
        <v>124</v>
      </c>
      <c r="I550" s="203" t="s">
        <v>439</v>
      </c>
      <c r="J550" s="202">
        <v>3</v>
      </c>
      <c r="K550" s="202">
        <v>3</v>
      </c>
      <c r="L550" s="202">
        <v>9</v>
      </c>
      <c r="M550" s="185">
        <f t="shared" si="134"/>
        <v>1</v>
      </c>
      <c r="N550" s="193" t="s">
        <v>53</v>
      </c>
      <c r="O550" s="194" t="s">
        <v>54</v>
      </c>
      <c r="P550" s="211">
        <f t="shared" si="135"/>
        <v>1</v>
      </c>
      <c r="Q550" s="196">
        <f t="shared" si="128"/>
        <v>54545000</v>
      </c>
      <c r="R550" s="196">
        <f t="shared" si="129"/>
        <v>54545000</v>
      </c>
      <c r="S550" s="201" t="s">
        <v>217</v>
      </c>
      <c r="T550" s="211">
        <f t="shared" si="136"/>
        <v>0</v>
      </c>
      <c r="U550" s="198" t="str">
        <f t="shared" si="137"/>
        <v>SUBDIRECCION DE GESTION CONTRACTUAL</v>
      </c>
      <c r="V550" s="211" t="str">
        <f t="shared" si="138"/>
        <v>CO-DC</v>
      </c>
      <c r="W550" s="211" t="str">
        <f t="shared" si="139"/>
        <v>Distrito Capital de Bogotá</v>
      </c>
      <c r="X550" s="209" t="s">
        <v>436</v>
      </c>
      <c r="Y550" s="202">
        <v>2427400</v>
      </c>
      <c r="Z550" s="276" t="s">
        <v>125</v>
      </c>
    </row>
    <row r="551" spans="1:85" s="139" customFormat="1" ht="13.9" customHeight="1" x14ac:dyDescent="0.2">
      <c r="A551" s="208" t="s">
        <v>121</v>
      </c>
      <c r="B551" s="202">
        <v>17</v>
      </c>
      <c r="C551" s="203" t="s">
        <v>123</v>
      </c>
      <c r="D551" s="209" t="s">
        <v>127</v>
      </c>
      <c r="E551" s="210"/>
      <c r="F551" s="210">
        <v>6576887</v>
      </c>
      <c r="G551" s="210"/>
      <c r="H551" s="209" t="s">
        <v>128</v>
      </c>
      <c r="I551" s="277" t="s">
        <v>921</v>
      </c>
      <c r="J551" s="202">
        <v>6</v>
      </c>
      <c r="K551" s="202">
        <v>7</v>
      </c>
      <c r="L551" s="202">
        <v>2</v>
      </c>
      <c r="M551" s="185">
        <f t="shared" si="134"/>
        <v>1</v>
      </c>
      <c r="N551" s="193" t="s">
        <v>48</v>
      </c>
      <c r="O551" s="194" t="s">
        <v>49</v>
      </c>
      <c r="P551" s="211">
        <f t="shared" si="135"/>
        <v>1</v>
      </c>
      <c r="Q551" s="196">
        <f t="shared" si="128"/>
        <v>6576887</v>
      </c>
      <c r="R551" s="196">
        <f t="shared" si="129"/>
        <v>6576887</v>
      </c>
      <c r="S551" s="201" t="s">
        <v>217</v>
      </c>
      <c r="T551" s="211">
        <f t="shared" si="136"/>
        <v>0</v>
      </c>
      <c r="U551" s="198" t="str">
        <f t="shared" si="137"/>
        <v>SUBDIRECCION DE GESTION CONTRACTUAL</v>
      </c>
      <c r="V551" s="211" t="str">
        <f t="shared" si="138"/>
        <v>CO-DC</v>
      </c>
      <c r="W551" s="211" t="str">
        <f t="shared" si="139"/>
        <v>Distrito Capital de Bogotá</v>
      </c>
      <c r="X551" s="209" t="s">
        <v>73</v>
      </c>
      <c r="Y551" s="202">
        <v>2427400</v>
      </c>
      <c r="Z551" s="212" t="s">
        <v>961</v>
      </c>
      <c r="AA551" s="134"/>
      <c r="AB551" s="134"/>
      <c r="AC551" s="134"/>
      <c r="AD551" s="134"/>
      <c r="AE551" s="134"/>
      <c r="AF551" s="134"/>
      <c r="AG551" s="134"/>
      <c r="AH551" s="134"/>
      <c r="AI551" s="134"/>
      <c r="AJ551" s="134"/>
      <c r="AK551" s="134"/>
      <c r="AL551" s="134"/>
      <c r="AM551" s="134"/>
      <c r="AN551" s="134"/>
      <c r="AO551" s="134"/>
      <c r="AP551" s="134"/>
      <c r="AQ551" s="134"/>
      <c r="AR551" s="134"/>
      <c r="AS551" s="134"/>
      <c r="AT551" s="134"/>
      <c r="AU551" s="132"/>
      <c r="AV551" s="132"/>
      <c r="AW551" s="132"/>
      <c r="AX551" s="132"/>
      <c r="AY551" s="132"/>
      <c r="AZ551" s="132"/>
      <c r="BA551" s="132"/>
      <c r="BB551" s="132"/>
      <c r="BC551" s="132"/>
      <c r="BD551" s="132"/>
      <c r="BE551" s="132"/>
      <c r="BF551" s="132"/>
      <c r="BG551" s="132"/>
      <c r="BH551" s="132"/>
      <c r="BI551" s="132"/>
      <c r="BJ551" s="132"/>
      <c r="BK551" s="132"/>
      <c r="BL551" s="132"/>
      <c r="BM551" s="132"/>
      <c r="BN551" s="132"/>
      <c r="BO551" s="132"/>
      <c r="BP551" s="132"/>
      <c r="BQ551" s="132"/>
      <c r="BR551" s="132"/>
      <c r="BS551" s="132"/>
      <c r="BT551" s="132"/>
      <c r="BU551" s="132"/>
      <c r="BV551" s="132"/>
      <c r="BW551" s="132"/>
      <c r="BX551" s="132"/>
      <c r="BY551" s="132"/>
      <c r="BZ551" s="132"/>
      <c r="CA551" s="132"/>
      <c r="CB551" s="132"/>
      <c r="CC551" s="132"/>
      <c r="CD551" s="132"/>
      <c r="CE551" s="132"/>
      <c r="CF551" s="132"/>
      <c r="CG551" s="140"/>
    </row>
    <row r="552" spans="1:85" s="139" customFormat="1" ht="13.9" customHeight="1" x14ac:dyDescent="0.2">
      <c r="A552" s="208" t="s">
        <v>121</v>
      </c>
      <c r="B552" s="202">
        <v>18</v>
      </c>
      <c r="C552" s="203" t="s">
        <v>123</v>
      </c>
      <c r="D552" s="209" t="s">
        <v>129</v>
      </c>
      <c r="E552" s="210"/>
      <c r="F552" s="210">
        <v>3138188</v>
      </c>
      <c r="G552" s="210"/>
      <c r="H552" s="209" t="s">
        <v>128</v>
      </c>
      <c r="I552" s="277" t="s">
        <v>921</v>
      </c>
      <c r="J552" s="202">
        <v>6</v>
      </c>
      <c r="K552" s="202">
        <v>7</v>
      </c>
      <c r="L552" s="202">
        <v>2</v>
      </c>
      <c r="M552" s="185">
        <f t="shared" si="134"/>
        <v>1</v>
      </c>
      <c r="N552" s="193" t="s">
        <v>48</v>
      </c>
      <c r="O552" s="194" t="s">
        <v>49</v>
      </c>
      <c r="P552" s="211">
        <f t="shared" si="135"/>
        <v>1</v>
      </c>
      <c r="Q552" s="196">
        <f t="shared" si="128"/>
        <v>3138188</v>
      </c>
      <c r="R552" s="196">
        <f t="shared" si="129"/>
        <v>3138188</v>
      </c>
      <c r="S552" s="201" t="s">
        <v>217</v>
      </c>
      <c r="T552" s="211">
        <f t="shared" si="136"/>
        <v>0</v>
      </c>
      <c r="U552" s="198" t="str">
        <f t="shared" si="137"/>
        <v>SUBDIRECCION DE GESTION CONTRACTUAL</v>
      </c>
      <c r="V552" s="211" t="str">
        <f t="shared" si="138"/>
        <v>CO-DC</v>
      </c>
      <c r="W552" s="211" t="str">
        <f t="shared" si="139"/>
        <v>Distrito Capital de Bogotá</v>
      </c>
      <c r="X552" s="209" t="s">
        <v>73</v>
      </c>
      <c r="Y552" s="202">
        <v>2427400</v>
      </c>
      <c r="Z552" s="212" t="s">
        <v>961</v>
      </c>
      <c r="AA552" s="134"/>
      <c r="AB552" s="134"/>
      <c r="AC552" s="134"/>
      <c r="AD552" s="134"/>
      <c r="AE552" s="134"/>
      <c r="AF552" s="134"/>
      <c r="AG552" s="134"/>
      <c r="AH552" s="134"/>
      <c r="AI552" s="134"/>
      <c r="AJ552" s="134"/>
      <c r="AK552" s="134"/>
      <c r="AL552" s="134"/>
      <c r="AM552" s="134"/>
      <c r="AN552" s="134"/>
      <c r="AO552" s="134"/>
      <c r="AP552" s="134"/>
      <c r="AQ552" s="134"/>
      <c r="AR552" s="134"/>
      <c r="AS552" s="134"/>
      <c r="AT552" s="134"/>
      <c r="AU552" s="132"/>
      <c r="AV552" s="132"/>
      <c r="AW552" s="132"/>
      <c r="AX552" s="132"/>
      <c r="AY552" s="132"/>
      <c r="AZ552" s="132"/>
      <c r="BA552" s="132"/>
      <c r="BB552" s="132"/>
      <c r="BC552" s="132"/>
      <c r="BD552" s="132"/>
      <c r="BE552" s="132"/>
      <c r="BF552" s="132"/>
      <c r="BG552" s="132"/>
      <c r="BH552" s="132"/>
      <c r="BI552" s="132"/>
      <c r="BJ552" s="132"/>
      <c r="BK552" s="132"/>
      <c r="BL552" s="132"/>
      <c r="BM552" s="132"/>
      <c r="BN552" s="132"/>
      <c r="BO552" s="132"/>
      <c r="BP552" s="132"/>
      <c r="BQ552" s="132"/>
      <c r="BR552" s="132"/>
      <c r="BS552" s="132"/>
      <c r="BT552" s="132"/>
      <c r="BU552" s="132"/>
      <c r="BV552" s="132"/>
      <c r="BW552" s="132"/>
      <c r="BX552" s="132"/>
      <c r="BY552" s="132"/>
      <c r="BZ552" s="132"/>
      <c r="CA552" s="132"/>
      <c r="CB552" s="132"/>
      <c r="CC552" s="132"/>
      <c r="CD552" s="132"/>
      <c r="CE552" s="132"/>
      <c r="CF552" s="132"/>
      <c r="CG552" s="140"/>
    </row>
    <row r="553" spans="1:85" s="139" customFormat="1" ht="13.9" customHeight="1" x14ac:dyDescent="0.2">
      <c r="A553" s="208" t="s">
        <v>121</v>
      </c>
      <c r="B553" s="202">
        <v>19</v>
      </c>
      <c r="C553" s="203" t="s">
        <v>123</v>
      </c>
      <c r="D553" s="209" t="s">
        <v>120</v>
      </c>
      <c r="E553" s="210"/>
      <c r="F553" s="210">
        <v>12495000</v>
      </c>
      <c r="G553" s="210"/>
      <c r="H553" s="273" t="s">
        <v>1034</v>
      </c>
      <c r="I553" s="273" t="s">
        <v>1035</v>
      </c>
      <c r="J553" s="274">
        <v>8</v>
      </c>
      <c r="K553" s="274">
        <v>9</v>
      </c>
      <c r="L553" s="274">
        <v>2</v>
      </c>
      <c r="M553" s="185">
        <f t="shared" si="134"/>
        <v>1</v>
      </c>
      <c r="N553" s="193" t="s">
        <v>36</v>
      </c>
      <c r="O553" s="194" t="s">
        <v>930</v>
      </c>
      <c r="P553" s="211">
        <f t="shared" si="135"/>
        <v>1</v>
      </c>
      <c r="Q553" s="196">
        <f t="shared" si="128"/>
        <v>12495000</v>
      </c>
      <c r="R553" s="196">
        <f t="shared" si="129"/>
        <v>12495000</v>
      </c>
      <c r="S553" s="201" t="s">
        <v>217</v>
      </c>
      <c r="T553" s="211">
        <f t="shared" si="136"/>
        <v>0</v>
      </c>
      <c r="U553" s="198" t="str">
        <f t="shared" si="137"/>
        <v>SUBDIRECCION DE GESTION CONTRACTUAL</v>
      </c>
      <c r="V553" s="211" t="str">
        <f t="shared" si="138"/>
        <v>CO-DC</v>
      </c>
      <c r="W553" s="211" t="str">
        <f t="shared" si="139"/>
        <v>Distrito Capital de Bogotá</v>
      </c>
      <c r="X553" s="209" t="s">
        <v>931</v>
      </c>
      <c r="Y553" s="202">
        <v>2427400</v>
      </c>
      <c r="Z553" s="212" t="s">
        <v>932</v>
      </c>
      <c r="AA553" s="134"/>
      <c r="AB553" s="134"/>
      <c r="AC553" s="134"/>
      <c r="AD553" s="134"/>
      <c r="AE553" s="134"/>
      <c r="AF553" s="134"/>
      <c r="AG553" s="134"/>
      <c r="AH553" s="134"/>
      <c r="AI553" s="134"/>
      <c r="AJ553" s="134"/>
      <c r="AK553" s="134"/>
      <c r="AL553" s="134"/>
      <c r="AM553" s="134"/>
      <c r="AN553" s="134"/>
      <c r="AO553" s="134"/>
      <c r="AP553" s="134"/>
      <c r="AQ553" s="134"/>
      <c r="AR553" s="134"/>
      <c r="AS553" s="134"/>
      <c r="AT553" s="134"/>
      <c r="AU553" s="132"/>
      <c r="AV553" s="132"/>
      <c r="AW553" s="132"/>
      <c r="AX553" s="132"/>
      <c r="AY553" s="132"/>
      <c r="AZ553" s="132"/>
      <c r="BA553" s="132"/>
      <c r="BB553" s="132"/>
      <c r="BC553" s="132"/>
      <c r="BD553" s="132"/>
      <c r="BE553" s="132"/>
      <c r="BF553" s="132"/>
      <c r="BG553" s="132"/>
      <c r="BH553" s="132"/>
      <c r="BI553" s="132"/>
      <c r="BJ553" s="132"/>
      <c r="BK553" s="132"/>
      <c r="BL553" s="132"/>
      <c r="BM553" s="132"/>
      <c r="BN553" s="132"/>
      <c r="BO553" s="132"/>
      <c r="BP553" s="132"/>
      <c r="BQ553" s="132"/>
      <c r="BR553" s="132"/>
      <c r="BS553" s="132"/>
      <c r="BT553" s="132"/>
      <c r="BU553" s="132"/>
      <c r="BV553" s="132"/>
      <c r="BW553" s="132"/>
      <c r="BX553" s="132"/>
      <c r="BY553" s="132"/>
      <c r="BZ553" s="132"/>
      <c r="CA553" s="132"/>
      <c r="CB553" s="132"/>
      <c r="CC553" s="132"/>
      <c r="CD553" s="132"/>
      <c r="CE553" s="132"/>
      <c r="CF553" s="132"/>
      <c r="CG553" s="140"/>
    </row>
    <row r="554" spans="1:85" s="139" customFormat="1" ht="13.9" customHeight="1" x14ac:dyDescent="0.2">
      <c r="A554" s="208" t="s">
        <v>121</v>
      </c>
      <c r="B554" s="202">
        <v>20</v>
      </c>
      <c r="C554" s="203" t="s">
        <v>123</v>
      </c>
      <c r="D554" s="209" t="s">
        <v>136</v>
      </c>
      <c r="E554" s="210">
        <v>5158324</v>
      </c>
      <c r="F554" s="210">
        <v>4961995</v>
      </c>
      <c r="G554" s="210"/>
      <c r="H554" s="209">
        <v>78102203</v>
      </c>
      <c r="I554" s="203" t="s">
        <v>440</v>
      </c>
      <c r="J554" s="202">
        <v>1</v>
      </c>
      <c r="K554" s="202">
        <v>1</v>
      </c>
      <c r="L554" s="202">
        <v>9</v>
      </c>
      <c r="M554" s="185">
        <f t="shared" si="134"/>
        <v>1</v>
      </c>
      <c r="N554" s="193" t="s">
        <v>36</v>
      </c>
      <c r="O554" s="194" t="s">
        <v>256</v>
      </c>
      <c r="P554" s="211">
        <f t="shared" si="135"/>
        <v>1</v>
      </c>
      <c r="Q554" s="196">
        <f t="shared" si="128"/>
        <v>10120319</v>
      </c>
      <c r="R554" s="196">
        <f t="shared" si="129"/>
        <v>4961995</v>
      </c>
      <c r="S554" s="201" t="s">
        <v>217</v>
      </c>
      <c r="T554" s="211">
        <f t="shared" si="136"/>
        <v>0</v>
      </c>
      <c r="U554" s="198" t="str">
        <f t="shared" si="137"/>
        <v>SUBDIRECCION DE GESTION CONTRACTUAL</v>
      </c>
      <c r="V554" s="211" t="str">
        <f t="shared" si="138"/>
        <v>CO-DC</v>
      </c>
      <c r="W554" s="211" t="str">
        <f t="shared" si="139"/>
        <v>Distrito Capital de Bogotá</v>
      </c>
      <c r="X554" s="209" t="s">
        <v>441</v>
      </c>
      <c r="Y554" s="202">
        <v>2427400</v>
      </c>
      <c r="Z554" s="212" t="s">
        <v>137</v>
      </c>
      <c r="AA554" s="134"/>
      <c r="AB554" s="134"/>
      <c r="AC554" s="134"/>
      <c r="AD554" s="134"/>
      <c r="AE554" s="134"/>
      <c r="AF554" s="134"/>
      <c r="AG554" s="134"/>
      <c r="AH554" s="134"/>
      <c r="AI554" s="134"/>
      <c r="AJ554" s="134"/>
      <c r="AK554" s="134"/>
      <c r="AL554" s="134"/>
      <c r="AM554" s="134"/>
      <c r="AN554" s="134"/>
      <c r="AO554" s="134"/>
      <c r="AP554" s="134"/>
      <c r="AQ554" s="134"/>
      <c r="AR554" s="134"/>
      <c r="AS554" s="134"/>
      <c r="AT554" s="134"/>
      <c r="AU554" s="132"/>
      <c r="AV554" s="132"/>
      <c r="AW554" s="132"/>
      <c r="AX554" s="132"/>
      <c r="AY554" s="132"/>
      <c r="AZ554" s="132"/>
      <c r="BA554" s="132"/>
      <c r="BB554" s="132"/>
      <c r="BC554" s="132"/>
      <c r="BD554" s="132"/>
      <c r="BE554" s="132"/>
      <c r="BF554" s="132"/>
      <c r="BG554" s="132"/>
      <c r="BH554" s="132"/>
      <c r="BI554" s="132"/>
      <c r="BJ554" s="132"/>
      <c r="BK554" s="132"/>
      <c r="BL554" s="132"/>
      <c r="BM554" s="132"/>
      <c r="BN554" s="132"/>
      <c r="BO554" s="132"/>
      <c r="BP554" s="132"/>
      <c r="BQ554" s="132"/>
      <c r="BR554" s="132"/>
      <c r="BS554" s="132"/>
      <c r="BT554" s="132"/>
      <c r="BU554" s="132"/>
      <c r="BV554" s="132"/>
      <c r="BW554" s="132"/>
      <c r="BX554" s="132"/>
      <c r="BY554" s="132"/>
      <c r="BZ554" s="132"/>
      <c r="CA554" s="132"/>
      <c r="CB554" s="132"/>
      <c r="CC554" s="132"/>
      <c r="CD554" s="132"/>
      <c r="CE554" s="132"/>
      <c r="CF554" s="132"/>
      <c r="CG554" s="140"/>
    </row>
    <row r="555" spans="1:85" s="139" customFormat="1" ht="13.9" customHeight="1" x14ac:dyDescent="0.2">
      <c r="A555" s="208" t="s">
        <v>121</v>
      </c>
      <c r="B555" s="202">
        <v>21</v>
      </c>
      <c r="C555" s="203" t="s">
        <v>123</v>
      </c>
      <c r="D555" s="209" t="s">
        <v>136</v>
      </c>
      <c r="E555" s="210"/>
      <c r="F555" s="210">
        <v>3000000</v>
      </c>
      <c r="G555" s="210"/>
      <c r="H555" s="209">
        <v>78102203</v>
      </c>
      <c r="I555" s="203" t="s">
        <v>442</v>
      </c>
      <c r="J555" s="202">
        <v>8</v>
      </c>
      <c r="K555" s="202">
        <v>9</v>
      </c>
      <c r="L555" s="202">
        <v>12</v>
      </c>
      <c r="M555" s="185">
        <f t="shared" si="134"/>
        <v>1</v>
      </c>
      <c r="N555" s="193" t="s">
        <v>36</v>
      </c>
      <c r="O555" s="194" t="s">
        <v>256</v>
      </c>
      <c r="P555" s="211">
        <f t="shared" si="135"/>
        <v>1</v>
      </c>
      <c r="Q555" s="196">
        <f t="shared" si="128"/>
        <v>3000000</v>
      </c>
      <c r="R555" s="196">
        <f t="shared" si="129"/>
        <v>3000000</v>
      </c>
      <c r="S555" s="201" t="s">
        <v>218</v>
      </c>
      <c r="T555" s="211">
        <f t="shared" si="136"/>
        <v>3</v>
      </c>
      <c r="U555" s="198" t="str">
        <f t="shared" si="137"/>
        <v>SUBDIRECCION DE GESTION CONTRACTUAL</v>
      </c>
      <c r="V555" s="211" t="str">
        <f t="shared" si="138"/>
        <v>CO-DC</v>
      </c>
      <c r="W555" s="211" t="str">
        <f t="shared" si="139"/>
        <v>Distrito Capital de Bogotá</v>
      </c>
      <c r="X555" s="209" t="s">
        <v>441</v>
      </c>
      <c r="Y555" s="202">
        <v>2427400</v>
      </c>
      <c r="Z555" s="212" t="s">
        <v>137</v>
      </c>
      <c r="AA555" s="134"/>
      <c r="AB555" s="134"/>
      <c r="AC555" s="134"/>
      <c r="AD555" s="134"/>
      <c r="AE555" s="134"/>
      <c r="AF555" s="134"/>
      <c r="AG555" s="134"/>
      <c r="AH555" s="134"/>
      <c r="AI555" s="134"/>
      <c r="AJ555" s="134"/>
      <c r="AK555" s="134"/>
      <c r="AL555" s="134"/>
      <c r="AM555" s="134"/>
      <c r="AN555" s="134"/>
      <c r="AO555" s="134"/>
      <c r="AP555" s="134"/>
      <c r="AQ555" s="134"/>
      <c r="AR555" s="134"/>
      <c r="AS555" s="134"/>
      <c r="AT555" s="134"/>
      <c r="AU555" s="132"/>
      <c r="AV555" s="132"/>
      <c r="AW555" s="132"/>
      <c r="AX555" s="132"/>
      <c r="AY555" s="132"/>
      <c r="AZ555" s="132"/>
      <c r="BA555" s="132"/>
      <c r="BB555" s="132"/>
      <c r="BC555" s="132"/>
      <c r="BD555" s="132"/>
      <c r="BE555" s="132"/>
      <c r="BF555" s="132"/>
      <c r="BG555" s="132"/>
      <c r="BH555" s="132"/>
      <c r="BI555" s="132"/>
      <c r="BJ555" s="132"/>
      <c r="BK555" s="132"/>
      <c r="BL555" s="132"/>
      <c r="BM555" s="132"/>
      <c r="BN555" s="132"/>
      <c r="BO555" s="132"/>
      <c r="BP555" s="132"/>
      <c r="BQ555" s="132"/>
      <c r="BR555" s="132"/>
      <c r="BS555" s="132"/>
      <c r="BT555" s="132"/>
      <c r="BU555" s="132"/>
      <c r="BV555" s="132"/>
      <c r="BW555" s="132"/>
      <c r="BX555" s="132"/>
      <c r="BY555" s="132"/>
      <c r="BZ555" s="132"/>
      <c r="CA555" s="132"/>
      <c r="CB555" s="132"/>
      <c r="CC555" s="132"/>
      <c r="CD555" s="132"/>
      <c r="CE555" s="132"/>
      <c r="CF555" s="132"/>
      <c r="CG555" s="140"/>
    </row>
    <row r="556" spans="1:85" s="139" customFormat="1" ht="13.9" customHeight="1" x14ac:dyDescent="0.2">
      <c r="A556" s="208" t="s">
        <v>121</v>
      </c>
      <c r="B556" s="202">
        <v>22</v>
      </c>
      <c r="C556" s="203" t="s">
        <v>123</v>
      </c>
      <c r="D556" s="209" t="s">
        <v>56</v>
      </c>
      <c r="E556" s="210"/>
      <c r="F556" s="210">
        <v>0</v>
      </c>
      <c r="G556" s="210"/>
      <c r="H556" s="209" t="s">
        <v>228</v>
      </c>
      <c r="I556" s="203" t="s">
        <v>443</v>
      </c>
      <c r="J556" s="202">
        <v>2</v>
      </c>
      <c r="K556" s="202">
        <v>3</v>
      </c>
      <c r="L556" s="202">
        <v>24</v>
      </c>
      <c r="M556" s="185">
        <f t="shared" si="134"/>
        <v>1</v>
      </c>
      <c r="N556" s="193" t="s">
        <v>420</v>
      </c>
      <c r="O556" s="194" t="s">
        <v>905</v>
      </c>
      <c r="P556" s="211">
        <f t="shared" si="135"/>
        <v>1</v>
      </c>
      <c r="Q556" s="196">
        <f t="shared" si="128"/>
        <v>0</v>
      </c>
      <c r="R556" s="196">
        <f t="shared" si="129"/>
        <v>0</v>
      </c>
      <c r="S556" s="201" t="s">
        <v>217</v>
      </c>
      <c r="T556" s="211">
        <f t="shared" si="136"/>
        <v>0</v>
      </c>
      <c r="U556" s="198" t="str">
        <f t="shared" si="137"/>
        <v>SUBDIRECCION DE GESTION CONTRACTUAL</v>
      </c>
      <c r="V556" s="211" t="str">
        <f t="shared" si="138"/>
        <v>CO-DC</v>
      </c>
      <c r="W556" s="211" t="str">
        <f t="shared" si="139"/>
        <v>Distrito Capital de Bogotá</v>
      </c>
      <c r="X556" s="209" t="s">
        <v>444</v>
      </c>
      <c r="Y556" s="202">
        <v>2427400</v>
      </c>
      <c r="Z556" s="212" t="s">
        <v>445</v>
      </c>
      <c r="AA556" s="134"/>
      <c r="AB556" s="134"/>
      <c r="AC556" s="134"/>
      <c r="AD556" s="134"/>
      <c r="AE556" s="134"/>
      <c r="AF556" s="134"/>
      <c r="AG556" s="134"/>
      <c r="AH556" s="134"/>
      <c r="AI556" s="134"/>
      <c r="AJ556" s="134"/>
      <c r="AK556" s="134"/>
      <c r="AL556" s="134"/>
      <c r="AM556" s="134"/>
      <c r="AN556" s="134"/>
      <c r="AO556" s="134"/>
      <c r="AP556" s="134"/>
      <c r="AQ556" s="134"/>
      <c r="AR556" s="134"/>
      <c r="AS556" s="134"/>
      <c r="AT556" s="134"/>
      <c r="AU556" s="132"/>
      <c r="AV556" s="132"/>
      <c r="AW556" s="132"/>
      <c r="AX556" s="132"/>
      <c r="AY556" s="132"/>
      <c r="AZ556" s="132"/>
      <c r="BA556" s="132"/>
      <c r="BB556" s="132"/>
      <c r="BC556" s="132"/>
      <c r="BD556" s="132"/>
      <c r="BE556" s="132"/>
      <c r="BF556" s="132"/>
      <c r="BG556" s="132"/>
      <c r="BH556" s="132"/>
      <c r="BI556" s="132"/>
      <c r="BJ556" s="132"/>
      <c r="BK556" s="132"/>
      <c r="BL556" s="132"/>
      <c r="BM556" s="132"/>
      <c r="BN556" s="132"/>
      <c r="BO556" s="132"/>
      <c r="BP556" s="132"/>
      <c r="BQ556" s="132"/>
      <c r="BR556" s="132"/>
      <c r="BS556" s="132"/>
      <c r="BT556" s="132"/>
      <c r="BU556" s="132"/>
      <c r="BV556" s="132"/>
      <c r="BW556" s="132"/>
      <c r="BX556" s="132"/>
      <c r="BY556" s="132"/>
      <c r="BZ556" s="132"/>
      <c r="CA556" s="132"/>
      <c r="CB556" s="132"/>
      <c r="CC556" s="132"/>
      <c r="CD556" s="132"/>
      <c r="CE556" s="132"/>
      <c r="CF556" s="132"/>
      <c r="CG556" s="140"/>
    </row>
    <row r="557" spans="1:85" s="139" customFormat="1" ht="13.9" customHeight="1" x14ac:dyDescent="0.2">
      <c r="A557" s="208" t="s">
        <v>121</v>
      </c>
      <c r="B557" s="202">
        <v>23</v>
      </c>
      <c r="C557" s="203" t="s">
        <v>123</v>
      </c>
      <c r="D557" s="209" t="s">
        <v>56</v>
      </c>
      <c r="E557" s="210"/>
      <c r="F557" s="210">
        <f>327270000+100000000-27270000</f>
        <v>400000000</v>
      </c>
      <c r="G557" s="210"/>
      <c r="H557" s="209" t="s">
        <v>228</v>
      </c>
      <c r="I557" s="203" t="s">
        <v>446</v>
      </c>
      <c r="J557" s="202">
        <v>5</v>
      </c>
      <c r="K557" s="202">
        <v>6</v>
      </c>
      <c r="L557" s="202">
        <v>12</v>
      </c>
      <c r="M557" s="185">
        <f t="shared" si="134"/>
        <v>1</v>
      </c>
      <c r="N557" s="193" t="s">
        <v>296</v>
      </c>
      <c r="O557" s="194" t="s">
        <v>904</v>
      </c>
      <c r="P557" s="211">
        <f t="shared" si="135"/>
        <v>1</v>
      </c>
      <c r="Q557" s="196">
        <f t="shared" si="128"/>
        <v>400000000</v>
      </c>
      <c r="R557" s="196">
        <f t="shared" si="129"/>
        <v>400000000</v>
      </c>
      <c r="S557" s="201" t="s">
        <v>218</v>
      </c>
      <c r="T557" s="211">
        <f t="shared" si="136"/>
        <v>3</v>
      </c>
      <c r="U557" s="198" t="str">
        <f t="shared" si="137"/>
        <v>SUBDIRECCION DE GESTION CONTRACTUAL</v>
      </c>
      <c r="V557" s="211" t="str">
        <f t="shared" si="138"/>
        <v>CO-DC</v>
      </c>
      <c r="W557" s="211" t="str">
        <f t="shared" si="139"/>
        <v>Distrito Capital de Bogotá</v>
      </c>
      <c r="X557" s="209" t="s">
        <v>444</v>
      </c>
      <c r="Y557" s="202">
        <v>2427400</v>
      </c>
      <c r="Z557" s="212" t="s">
        <v>445</v>
      </c>
      <c r="AA557" s="134"/>
      <c r="AB557" s="134"/>
      <c r="AC557" s="134"/>
      <c r="AD557" s="134"/>
      <c r="AE557" s="134"/>
      <c r="AF557" s="134"/>
      <c r="AG557" s="134"/>
      <c r="AH557" s="134"/>
      <c r="AI557" s="134"/>
      <c r="AJ557" s="134"/>
      <c r="AK557" s="134"/>
      <c r="AL557" s="134"/>
      <c r="AM557" s="134"/>
      <c r="AN557" s="134"/>
      <c r="AO557" s="134"/>
      <c r="AP557" s="134"/>
      <c r="AQ557" s="134"/>
      <c r="AR557" s="134"/>
      <c r="AS557" s="134"/>
      <c r="AT557" s="134"/>
      <c r="AU557" s="132"/>
      <c r="AV557" s="132"/>
      <c r="AW557" s="132"/>
      <c r="AX557" s="132"/>
      <c r="AY557" s="132"/>
      <c r="AZ557" s="132"/>
      <c r="BA557" s="132"/>
      <c r="BB557" s="132"/>
      <c r="BC557" s="132"/>
      <c r="BD557" s="132"/>
      <c r="BE557" s="132"/>
      <c r="BF557" s="132"/>
      <c r="BG557" s="132"/>
      <c r="BH557" s="132"/>
      <c r="BI557" s="132"/>
      <c r="BJ557" s="132"/>
      <c r="BK557" s="132"/>
      <c r="BL557" s="132"/>
      <c r="BM557" s="132"/>
      <c r="BN557" s="132"/>
      <c r="BO557" s="132"/>
      <c r="BP557" s="132"/>
      <c r="BQ557" s="132"/>
      <c r="BR557" s="132"/>
      <c r="BS557" s="132"/>
      <c r="BT557" s="132"/>
      <c r="BU557" s="132"/>
      <c r="BV557" s="132"/>
      <c r="BW557" s="132"/>
      <c r="BX557" s="132"/>
      <c r="BY557" s="132"/>
      <c r="BZ557" s="132"/>
      <c r="CA557" s="132"/>
      <c r="CB557" s="132"/>
      <c r="CC557" s="132"/>
      <c r="CD557" s="132"/>
      <c r="CE557" s="132"/>
      <c r="CF557" s="132"/>
      <c r="CG557" s="140"/>
    </row>
    <row r="558" spans="1:85" s="139" customFormat="1" ht="13.9" customHeight="1" x14ac:dyDescent="0.2">
      <c r="A558" s="208" t="s">
        <v>121</v>
      </c>
      <c r="B558" s="202">
        <v>24</v>
      </c>
      <c r="C558" s="203" t="s">
        <v>123</v>
      </c>
      <c r="D558" s="209" t="s">
        <v>59</v>
      </c>
      <c r="E558" s="210"/>
      <c r="F558" s="210">
        <v>17180273</v>
      </c>
      <c r="G558" s="210"/>
      <c r="H558" s="209" t="s">
        <v>695</v>
      </c>
      <c r="I558" s="203" t="s">
        <v>447</v>
      </c>
      <c r="J558" s="202">
        <v>11</v>
      </c>
      <c r="K558" s="202">
        <v>11</v>
      </c>
      <c r="L558" s="202">
        <v>1</v>
      </c>
      <c r="M558" s="185">
        <f t="shared" si="134"/>
        <v>1</v>
      </c>
      <c r="N558" s="193" t="s">
        <v>48</v>
      </c>
      <c r="O558" s="194" t="s">
        <v>49</v>
      </c>
      <c r="P558" s="211">
        <f t="shared" si="135"/>
        <v>1</v>
      </c>
      <c r="Q558" s="196">
        <f t="shared" si="128"/>
        <v>17180273</v>
      </c>
      <c r="R558" s="196">
        <f t="shared" si="129"/>
        <v>17180273</v>
      </c>
      <c r="S558" s="201" t="s">
        <v>217</v>
      </c>
      <c r="T558" s="211">
        <f t="shared" si="136"/>
        <v>0</v>
      </c>
      <c r="U558" s="198" t="str">
        <f t="shared" si="137"/>
        <v>SUBDIRECCION DE GESTION CONTRACTUAL</v>
      </c>
      <c r="V558" s="211" t="str">
        <f t="shared" si="138"/>
        <v>CO-DC</v>
      </c>
      <c r="W558" s="211" t="str">
        <f t="shared" si="139"/>
        <v>Distrito Capital de Bogotá</v>
      </c>
      <c r="X558" s="209" t="s">
        <v>448</v>
      </c>
      <c r="Y558" s="202">
        <v>2427400</v>
      </c>
      <c r="Z558" s="212" t="s">
        <v>139</v>
      </c>
      <c r="AA558" s="134"/>
      <c r="AB558" s="134"/>
      <c r="AC558" s="134"/>
      <c r="AD558" s="134"/>
      <c r="AE558" s="134"/>
      <c r="AF558" s="134"/>
      <c r="AG558" s="134"/>
      <c r="AH558" s="134"/>
      <c r="AI558" s="134"/>
      <c r="AJ558" s="134"/>
      <c r="AK558" s="134"/>
      <c r="AL558" s="134"/>
      <c r="AM558" s="134"/>
      <c r="AN558" s="134"/>
      <c r="AO558" s="134"/>
      <c r="AP558" s="134"/>
      <c r="AQ558" s="134"/>
      <c r="AR558" s="134"/>
      <c r="AS558" s="134"/>
      <c r="AT558" s="134"/>
      <c r="AU558" s="132"/>
      <c r="AV558" s="132"/>
      <c r="AW558" s="132"/>
      <c r="AX558" s="132"/>
      <c r="AY558" s="132"/>
      <c r="AZ558" s="132"/>
      <c r="BA558" s="132"/>
      <c r="BB558" s="132"/>
      <c r="BC558" s="132"/>
      <c r="BD558" s="132"/>
      <c r="BE558" s="132"/>
      <c r="BF558" s="132"/>
      <c r="BG558" s="132"/>
      <c r="BH558" s="132"/>
      <c r="BI558" s="132"/>
      <c r="BJ558" s="132"/>
      <c r="BK558" s="132"/>
      <c r="BL558" s="132"/>
      <c r="BM558" s="132"/>
      <c r="BN558" s="132"/>
      <c r="BO558" s="132"/>
      <c r="BP558" s="132"/>
      <c r="BQ558" s="132"/>
      <c r="BR558" s="132"/>
      <c r="BS558" s="132"/>
      <c r="BT558" s="132"/>
      <c r="BU558" s="132"/>
      <c r="BV558" s="132"/>
      <c r="BW558" s="132"/>
      <c r="BX558" s="132"/>
      <c r="BY558" s="132"/>
      <c r="BZ558" s="132"/>
      <c r="CA558" s="132"/>
      <c r="CB558" s="132"/>
      <c r="CC558" s="132"/>
      <c r="CD558" s="132"/>
      <c r="CE558" s="132"/>
      <c r="CF558" s="132"/>
      <c r="CG558" s="140"/>
    </row>
    <row r="559" spans="1:85" s="139" customFormat="1" ht="13.9" customHeight="1" x14ac:dyDescent="0.2">
      <c r="A559" s="208" t="s">
        <v>121</v>
      </c>
      <c r="B559" s="202">
        <v>25</v>
      </c>
      <c r="C559" s="203" t="s">
        <v>123</v>
      </c>
      <c r="D559" s="209" t="s">
        <v>59</v>
      </c>
      <c r="E559" s="210">
        <v>835380</v>
      </c>
      <c r="F559" s="210">
        <v>7518420</v>
      </c>
      <c r="G559" s="210"/>
      <c r="H559" s="209">
        <v>83111903</v>
      </c>
      <c r="I559" s="203" t="s">
        <v>449</v>
      </c>
      <c r="J559" s="202">
        <v>1</v>
      </c>
      <c r="K559" s="202">
        <v>1</v>
      </c>
      <c r="L559" s="202">
        <v>11</v>
      </c>
      <c r="M559" s="185">
        <f t="shared" si="134"/>
        <v>1</v>
      </c>
      <c r="N559" s="193" t="s">
        <v>48</v>
      </c>
      <c r="O559" s="194" t="s">
        <v>49</v>
      </c>
      <c r="P559" s="211">
        <f t="shared" si="135"/>
        <v>1</v>
      </c>
      <c r="Q559" s="196">
        <f t="shared" si="128"/>
        <v>8353800</v>
      </c>
      <c r="R559" s="196">
        <f t="shared" si="129"/>
        <v>7518420</v>
      </c>
      <c r="S559" s="201" t="s">
        <v>217</v>
      </c>
      <c r="T559" s="211">
        <f t="shared" si="136"/>
        <v>0</v>
      </c>
      <c r="U559" s="198" t="str">
        <f t="shared" si="137"/>
        <v>SUBDIRECCION DE GESTION CONTRACTUAL</v>
      </c>
      <c r="V559" s="211" t="str">
        <f t="shared" si="138"/>
        <v>CO-DC</v>
      </c>
      <c r="W559" s="211" t="str">
        <f t="shared" si="139"/>
        <v>Distrito Capital de Bogotá</v>
      </c>
      <c r="X559" s="209" t="s">
        <v>436</v>
      </c>
      <c r="Y559" s="202">
        <v>2427400</v>
      </c>
      <c r="Z559" s="212" t="s">
        <v>125</v>
      </c>
      <c r="AA559" s="134"/>
      <c r="AB559" s="134"/>
      <c r="AC559" s="134"/>
      <c r="AD559" s="134"/>
      <c r="AE559" s="134"/>
      <c r="AF559" s="134"/>
      <c r="AG559" s="134"/>
      <c r="AH559" s="134"/>
      <c r="AI559" s="134"/>
      <c r="AJ559" s="134"/>
      <c r="AK559" s="134"/>
      <c r="AL559" s="134"/>
      <c r="AM559" s="134"/>
      <c r="AN559" s="134"/>
      <c r="AO559" s="134"/>
      <c r="AP559" s="134"/>
      <c r="AQ559" s="134"/>
      <c r="AR559" s="134"/>
      <c r="AS559" s="134"/>
      <c r="AT559" s="134"/>
      <c r="AU559" s="132"/>
      <c r="AV559" s="132"/>
      <c r="AW559" s="132"/>
      <c r="AX559" s="132"/>
      <c r="AY559" s="132"/>
      <c r="AZ559" s="132"/>
      <c r="BA559" s="132"/>
      <c r="BB559" s="132"/>
      <c r="BC559" s="132"/>
      <c r="BD559" s="132"/>
      <c r="BE559" s="132"/>
      <c r="BF559" s="132"/>
      <c r="BG559" s="132"/>
      <c r="BH559" s="132"/>
      <c r="BI559" s="132"/>
      <c r="BJ559" s="132"/>
      <c r="BK559" s="132"/>
      <c r="BL559" s="132"/>
      <c r="BM559" s="132"/>
      <c r="BN559" s="132"/>
      <c r="BO559" s="132"/>
      <c r="BP559" s="132"/>
      <c r="BQ559" s="132"/>
      <c r="BR559" s="132"/>
      <c r="BS559" s="132"/>
      <c r="BT559" s="132"/>
      <c r="BU559" s="132"/>
      <c r="BV559" s="132"/>
      <c r="BW559" s="132"/>
      <c r="BX559" s="132"/>
      <c r="BY559" s="132"/>
      <c r="BZ559" s="132"/>
      <c r="CA559" s="132"/>
      <c r="CB559" s="132"/>
      <c r="CC559" s="132"/>
      <c r="CD559" s="132"/>
      <c r="CE559" s="132"/>
      <c r="CF559" s="132"/>
      <c r="CG559" s="140"/>
    </row>
    <row r="560" spans="1:85" s="139" customFormat="1" ht="13.9" customHeight="1" x14ac:dyDescent="0.2">
      <c r="A560" s="208" t="s">
        <v>121</v>
      </c>
      <c r="B560" s="202">
        <v>26</v>
      </c>
      <c r="C560" s="203" t="s">
        <v>123</v>
      </c>
      <c r="D560" s="209" t="s">
        <v>59</v>
      </c>
      <c r="E560" s="210"/>
      <c r="F560" s="210">
        <v>2000000</v>
      </c>
      <c r="G560" s="210"/>
      <c r="H560" s="209">
        <v>83111903</v>
      </c>
      <c r="I560" s="203" t="s">
        <v>450</v>
      </c>
      <c r="J560" s="202">
        <v>10</v>
      </c>
      <c r="K560" s="202">
        <v>12</v>
      </c>
      <c r="L560" s="202">
        <v>12</v>
      </c>
      <c r="M560" s="185">
        <f t="shared" si="134"/>
        <v>1</v>
      </c>
      <c r="N560" s="193" t="s">
        <v>48</v>
      </c>
      <c r="O560" s="194" t="s">
        <v>49</v>
      </c>
      <c r="P560" s="211">
        <f t="shared" si="135"/>
        <v>1</v>
      </c>
      <c r="Q560" s="196">
        <f t="shared" si="128"/>
        <v>2000000</v>
      </c>
      <c r="R560" s="196">
        <f t="shared" si="129"/>
        <v>2000000</v>
      </c>
      <c r="S560" s="201" t="s">
        <v>218</v>
      </c>
      <c r="T560" s="211">
        <f t="shared" si="136"/>
        <v>3</v>
      </c>
      <c r="U560" s="198" t="str">
        <f t="shared" si="137"/>
        <v>SUBDIRECCION DE GESTION CONTRACTUAL</v>
      </c>
      <c r="V560" s="211" t="str">
        <f t="shared" si="138"/>
        <v>CO-DC</v>
      </c>
      <c r="W560" s="211" t="str">
        <f t="shared" si="139"/>
        <v>Distrito Capital de Bogotá</v>
      </c>
      <c r="X560" s="209" t="s">
        <v>436</v>
      </c>
      <c r="Y560" s="202">
        <v>2427400</v>
      </c>
      <c r="Z560" s="212" t="s">
        <v>125</v>
      </c>
      <c r="AA560" s="134"/>
      <c r="AB560" s="134"/>
      <c r="AC560" s="134"/>
      <c r="AD560" s="134"/>
      <c r="AE560" s="134"/>
      <c r="AF560" s="134"/>
      <c r="AG560" s="134"/>
      <c r="AH560" s="134"/>
      <c r="AI560" s="134"/>
      <c r="AJ560" s="134"/>
      <c r="AK560" s="134"/>
      <c r="AL560" s="134"/>
      <c r="AM560" s="134"/>
      <c r="AN560" s="134"/>
      <c r="AO560" s="134"/>
      <c r="AP560" s="134"/>
      <c r="AQ560" s="134"/>
      <c r="AR560" s="134"/>
      <c r="AS560" s="134"/>
      <c r="AT560" s="134"/>
      <c r="AU560" s="132"/>
      <c r="AV560" s="132"/>
      <c r="AW560" s="132"/>
      <c r="AX560" s="132"/>
      <c r="AY560" s="132"/>
      <c r="AZ560" s="132"/>
      <c r="BA560" s="132"/>
      <c r="BB560" s="132"/>
      <c r="BC560" s="132"/>
      <c r="BD560" s="132"/>
      <c r="BE560" s="132"/>
      <c r="BF560" s="132"/>
      <c r="BG560" s="132"/>
      <c r="BH560" s="132"/>
      <c r="BI560" s="132"/>
      <c r="BJ560" s="132"/>
      <c r="BK560" s="132"/>
      <c r="BL560" s="132"/>
      <c r="BM560" s="132"/>
      <c r="BN560" s="132"/>
      <c r="BO560" s="132"/>
      <c r="BP560" s="132"/>
      <c r="BQ560" s="132"/>
      <c r="BR560" s="132"/>
      <c r="BS560" s="132"/>
      <c r="BT560" s="132"/>
      <c r="BU560" s="132"/>
      <c r="BV560" s="132"/>
      <c r="BW560" s="132"/>
      <c r="BX560" s="132"/>
      <c r="BY560" s="132"/>
      <c r="BZ560" s="132"/>
      <c r="CA560" s="132"/>
      <c r="CB560" s="132"/>
      <c r="CC560" s="132"/>
      <c r="CD560" s="132"/>
      <c r="CE560" s="132"/>
      <c r="CF560" s="132"/>
      <c r="CG560" s="140"/>
    </row>
    <row r="561" spans="1:85" s="7" customFormat="1" ht="12.75" customHeight="1" x14ac:dyDescent="0.2">
      <c r="A561" s="208" t="s">
        <v>121</v>
      </c>
      <c r="B561" s="202">
        <v>27</v>
      </c>
      <c r="C561" s="203" t="s">
        <v>123</v>
      </c>
      <c r="D561" s="209" t="s">
        <v>60</v>
      </c>
      <c r="E561" s="210">
        <v>1325020663</v>
      </c>
      <c r="F561" s="210">
        <v>1368255649</v>
      </c>
      <c r="G561" s="210"/>
      <c r="H561" s="209">
        <v>92121500</v>
      </c>
      <c r="I561" s="203" t="s">
        <v>451</v>
      </c>
      <c r="J561" s="202">
        <v>1</v>
      </c>
      <c r="K561" s="202">
        <v>1</v>
      </c>
      <c r="L561" s="202">
        <v>11</v>
      </c>
      <c r="M561" s="185">
        <f t="shared" si="134"/>
        <v>1</v>
      </c>
      <c r="N561" s="193" t="s">
        <v>43</v>
      </c>
      <c r="O561" s="194" t="s">
        <v>44</v>
      </c>
      <c r="P561" s="211">
        <f t="shared" si="135"/>
        <v>1</v>
      </c>
      <c r="Q561" s="196">
        <f t="shared" si="128"/>
        <v>2693276312</v>
      </c>
      <c r="R561" s="196">
        <f t="shared" si="129"/>
        <v>1368255649</v>
      </c>
      <c r="S561" s="201" t="s">
        <v>217</v>
      </c>
      <c r="T561" s="211">
        <f t="shared" si="136"/>
        <v>0</v>
      </c>
      <c r="U561" s="198" t="str">
        <f t="shared" si="137"/>
        <v>SUBDIRECCION DE GESTION CONTRACTUAL</v>
      </c>
      <c r="V561" s="211" t="str">
        <f t="shared" si="138"/>
        <v>CO-DC</v>
      </c>
      <c r="W561" s="211" t="str">
        <f t="shared" si="139"/>
        <v>Distrito Capital de Bogotá</v>
      </c>
      <c r="X561" s="209" t="s">
        <v>436</v>
      </c>
      <c r="Y561" s="202">
        <v>2427400</v>
      </c>
      <c r="Z561" s="212" t="s">
        <v>125</v>
      </c>
    </row>
    <row r="562" spans="1:85" s="139" customFormat="1" ht="13.9" customHeight="1" x14ac:dyDescent="0.2">
      <c r="A562" s="208" t="s">
        <v>121</v>
      </c>
      <c r="B562" s="202">
        <v>28</v>
      </c>
      <c r="C562" s="203" t="s">
        <v>123</v>
      </c>
      <c r="D562" s="209" t="s">
        <v>60</v>
      </c>
      <c r="E562" s="210"/>
      <c r="F562" s="210">
        <f>125715891-5000000</f>
        <v>120715891</v>
      </c>
      <c r="G562" s="210"/>
      <c r="H562" s="209">
        <v>92121500</v>
      </c>
      <c r="I562" s="203" t="s">
        <v>452</v>
      </c>
      <c r="J562" s="202">
        <v>7</v>
      </c>
      <c r="K562" s="202">
        <v>10</v>
      </c>
      <c r="L562" s="202">
        <v>24</v>
      </c>
      <c r="M562" s="185">
        <f t="shared" si="134"/>
        <v>1</v>
      </c>
      <c r="N562" s="193" t="s">
        <v>43</v>
      </c>
      <c r="O562" s="194" t="s">
        <v>44</v>
      </c>
      <c r="P562" s="211">
        <f t="shared" si="135"/>
        <v>1</v>
      </c>
      <c r="Q562" s="196">
        <f t="shared" si="128"/>
        <v>120715891</v>
      </c>
      <c r="R562" s="196">
        <f t="shared" si="129"/>
        <v>120715891</v>
      </c>
      <c r="S562" s="201">
        <v>0</v>
      </c>
      <c r="T562" s="211">
        <f t="shared" si="136"/>
        <v>0</v>
      </c>
      <c r="U562" s="198" t="str">
        <f t="shared" si="137"/>
        <v>SUBDIRECCION DE GESTION CONTRACTUAL</v>
      </c>
      <c r="V562" s="211" t="str">
        <f t="shared" si="138"/>
        <v>CO-DC</v>
      </c>
      <c r="W562" s="211" t="str">
        <f t="shared" si="139"/>
        <v>Distrito Capital de Bogotá</v>
      </c>
      <c r="X562" s="209" t="s">
        <v>73</v>
      </c>
      <c r="Y562" s="202">
        <v>2427400</v>
      </c>
      <c r="Z562" s="212" t="s">
        <v>961</v>
      </c>
      <c r="AA562" s="134"/>
      <c r="AB562" s="134"/>
      <c r="AC562" s="134"/>
      <c r="AD562" s="134"/>
      <c r="AE562" s="134"/>
      <c r="AF562" s="134"/>
      <c r="AG562" s="134"/>
      <c r="AH562" s="134"/>
      <c r="AI562" s="134"/>
      <c r="AJ562" s="134"/>
      <c r="AK562" s="134"/>
      <c r="AL562" s="134"/>
      <c r="AM562" s="134"/>
      <c r="AN562" s="134"/>
      <c r="AO562" s="134"/>
      <c r="AP562" s="134"/>
      <c r="AQ562" s="134"/>
      <c r="AR562" s="134"/>
      <c r="AS562" s="134"/>
      <c r="AT562" s="134"/>
      <c r="AU562" s="132"/>
      <c r="AV562" s="132"/>
      <c r="AW562" s="132"/>
      <c r="AX562" s="132"/>
      <c r="AY562" s="132"/>
      <c r="AZ562" s="132"/>
      <c r="BA562" s="132"/>
      <c r="BB562" s="132"/>
      <c r="BC562" s="132"/>
      <c r="BD562" s="132"/>
      <c r="BE562" s="132"/>
      <c r="BF562" s="132"/>
      <c r="BG562" s="132"/>
      <c r="BH562" s="132"/>
      <c r="BI562" s="132"/>
      <c r="BJ562" s="132"/>
      <c r="BK562" s="132"/>
      <c r="BL562" s="132"/>
      <c r="BM562" s="132"/>
      <c r="BN562" s="132"/>
      <c r="BO562" s="132"/>
      <c r="BP562" s="132"/>
      <c r="BQ562" s="132"/>
      <c r="BR562" s="132"/>
      <c r="BS562" s="132"/>
      <c r="BT562" s="132"/>
      <c r="BU562" s="132"/>
      <c r="BV562" s="132"/>
      <c r="BW562" s="132"/>
      <c r="BX562" s="132"/>
      <c r="BY562" s="132"/>
      <c r="BZ562" s="132"/>
      <c r="CA562" s="132"/>
      <c r="CB562" s="132"/>
      <c r="CC562" s="132"/>
      <c r="CD562" s="132"/>
      <c r="CE562" s="132"/>
      <c r="CF562" s="132"/>
      <c r="CG562" s="140"/>
    </row>
    <row r="563" spans="1:85" s="139" customFormat="1" ht="13.9" customHeight="1" x14ac:dyDescent="0.2">
      <c r="A563" s="208" t="s">
        <v>121</v>
      </c>
      <c r="B563" s="202">
        <v>29</v>
      </c>
      <c r="C563" s="203" t="s">
        <v>123</v>
      </c>
      <c r="D563" s="209" t="s">
        <v>60</v>
      </c>
      <c r="E563" s="210">
        <v>616611423</v>
      </c>
      <c r="F563" s="210">
        <f>699806076.4+100000000.6</f>
        <v>799806077</v>
      </c>
      <c r="G563" s="210"/>
      <c r="H563" s="188" t="s">
        <v>231</v>
      </c>
      <c r="I563" s="203" t="s">
        <v>453</v>
      </c>
      <c r="J563" s="202">
        <v>1</v>
      </c>
      <c r="K563" s="202">
        <v>1</v>
      </c>
      <c r="L563" s="202">
        <v>7</v>
      </c>
      <c r="M563" s="185">
        <f t="shared" si="134"/>
        <v>1</v>
      </c>
      <c r="N563" s="193" t="s">
        <v>53</v>
      </c>
      <c r="O563" s="194" t="s">
        <v>54</v>
      </c>
      <c r="P563" s="211">
        <f t="shared" si="135"/>
        <v>1</v>
      </c>
      <c r="Q563" s="196">
        <f t="shared" si="128"/>
        <v>1416417500</v>
      </c>
      <c r="R563" s="196">
        <f t="shared" si="129"/>
        <v>799806077</v>
      </c>
      <c r="S563" s="201" t="s">
        <v>217</v>
      </c>
      <c r="T563" s="211">
        <f t="shared" si="136"/>
        <v>0</v>
      </c>
      <c r="U563" s="198" t="str">
        <f t="shared" si="137"/>
        <v>SUBDIRECCION DE GESTION CONTRACTUAL</v>
      </c>
      <c r="V563" s="185" t="str">
        <f t="shared" si="138"/>
        <v>CO-DC</v>
      </c>
      <c r="W563" s="198" t="str">
        <f t="shared" si="139"/>
        <v>Distrito Capital de Bogotá</v>
      </c>
      <c r="X563" s="209" t="s">
        <v>436</v>
      </c>
      <c r="Y563" s="202">
        <v>2427400</v>
      </c>
      <c r="Z563" s="212" t="s">
        <v>125</v>
      </c>
      <c r="AA563" s="134"/>
      <c r="AB563" s="134"/>
      <c r="AC563" s="134"/>
      <c r="AD563" s="134"/>
      <c r="AE563" s="134"/>
      <c r="AF563" s="134"/>
      <c r="AG563" s="134"/>
      <c r="AH563" s="134"/>
      <c r="AI563" s="134"/>
      <c r="AJ563" s="134"/>
      <c r="AK563" s="134"/>
      <c r="AL563" s="134"/>
      <c r="AM563" s="134"/>
      <c r="AN563" s="134"/>
      <c r="AO563" s="134"/>
      <c r="AP563" s="134"/>
      <c r="AQ563" s="134"/>
      <c r="AR563" s="134"/>
      <c r="AS563" s="134"/>
      <c r="AT563" s="134"/>
      <c r="AU563" s="132"/>
      <c r="AV563" s="132"/>
      <c r="AW563" s="132"/>
      <c r="AX563" s="132"/>
      <c r="AY563" s="132"/>
      <c r="AZ563" s="132"/>
      <c r="BA563" s="132"/>
      <c r="BB563" s="132"/>
      <c r="BC563" s="132"/>
      <c r="BD563" s="132"/>
      <c r="BE563" s="132"/>
      <c r="BF563" s="132"/>
      <c r="BG563" s="132"/>
      <c r="BH563" s="132"/>
      <c r="BI563" s="132"/>
      <c r="BJ563" s="132"/>
      <c r="BK563" s="132"/>
      <c r="BL563" s="132"/>
      <c r="BM563" s="132"/>
      <c r="BN563" s="132"/>
      <c r="BO563" s="132"/>
      <c r="BP563" s="132"/>
      <c r="BQ563" s="132"/>
      <c r="BR563" s="132"/>
      <c r="BS563" s="132"/>
      <c r="BT563" s="132"/>
      <c r="BU563" s="132"/>
      <c r="BV563" s="132"/>
      <c r="BW563" s="132"/>
      <c r="BX563" s="132"/>
      <c r="BY563" s="132"/>
      <c r="BZ563" s="132"/>
      <c r="CA563" s="132"/>
      <c r="CB563" s="132"/>
      <c r="CC563" s="132"/>
      <c r="CD563" s="132"/>
      <c r="CE563" s="132"/>
      <c r="CF563" s="132"/>
      <c r="CG563" s="140"/>
    </row>
    <row r="564" spans="1:85" s="139" customFormat="1" ht="13.9" customHeight="1" x14ac:dyDescent="0.2">
      <c r="A564" s="208" t="s">
        <v>121</v>
      </c>
      <c r="B564" s="202">
        <v>30</v>
      </c>
      <c r="C564" s="203" t="s">
        <v>123</v>
      </c>
      <c r="D564" s="209" t="s">
        <v>60</v>
      </c>
      <c r="E564" s="210"/>
      <c r="F564" s="210">
        <f>284774390+148042037+485258-433301685</f>
        <v>0</v>
      </c>
      <c r="G564" s="210"/>
      <c r="H564" s="188" t="s">
        <v>231</v>
      </c>
      <c r="I564" s="203" t="s">
        <v>454</v>
      </c>
      <c r="J564" s="202">
        <v>7</v>
      </c>
      <c r="K564" s="202">
        <v>7</v>
      </c>
      <c r="L564" s="202">
        <v>12</v>
      </c>
      <c r="M564" s="185">
        <f t="shared" si="134"/>
        <v>1</v>
      </c>
      <c r="N564" s="193" t="s">
        <v>53</v>
      </c>
      <c r="O564" s="194" t="s">
        <v>54</v>
      </c>
      <c r="P564" s="211">
        <f t="shared" si="135"/>
        <v>1</v>
      </c>
      <c r="Q564" s="196">
        <f t="shared" si="128"/>
        <v>0</v>
      </c>
      <c r="R564" s="196">
        <f t="shared" si="129"/>
        <v>0</v>
      </c>
      <c r="S564" s="201" t="s">
        <v>218</v>
      </c>
      <c r="T564" s="211">
        <f t="shared" si="136"/>
        <v>3</v>
      </c>
      <c r="U564" s="198" t="str">
        <f t="shared" si="137"/>
        <v>SUBDIRECCION DE GESTION CONTRACTUAL</v>
      </c>
      <c r="V564" s="185" t="str">
        <f t="shared" si="138"/>
        <v>CO-DC</v>
      </c>
      <c r="W564" s="198" t="str">
        <f t="shared" si="139"/>
        <v>Distrito Capital de Bogotá</v>
      </c>
      <c r="X564" s="209" t="s">
        <v>73</v>
      </c>
      <c r="Y564" s="202">
        <v>2427400</v>
      </c>
      <c r="Z564" s="212" t="s">
        <v>961</v>
      </c>
      <c r="AA564" s="134"/>
      <c r="AB564" s="134"/>
      <c r="AC564" s="134"/>
      <c r="AD564" s="134"/>
      <c r="AE564" s="134"/>
      <c r="AF564" s="134"/>
      <c r="AG564" s="134"/>
      <c r="AH564" s="134"/>
      <c r="AI564" s="134"/>
      <c r="AJ564" s="134"/>
      <c r="AK564" s="134"/>
      <c r="AL564" s="134"/>
      <c r="AM564" s="134"/>
      <c r="AN564" s="134"/>
      <c r="AO564" s="134"/>
      <c r="AP564" s="134"/>
      <c r="AQ564" s="134"/>
      <c r="AR564" s="134"/>
      <c r="AS564" s="134"/>
      <c r="AT564" s="134"/>
      <c r="AU564" s="132"/>
      <c r="AV564" s="132"/>
      <c r="AW564" s="132"/>
      <c r="AX564" s="132"/>
      <c r="AY564" s="132"/>
      <c r="AZ564" s="132"/>
      <c r="BA564" s="132"/>
      <c r="BB564" s="132"/>
      <c r="BC564" s="132"/>
      <c r="BD564" s="132"/>
      <c r="BE564" s="132"/>
      <c r="BF564" s="132"/>
      <c r="BG564" s="132"/>
      <c r="BH564" s="132"/>
      <c r="BI564" s="132"/>
      <c r="BJ564" s="132"/>
      <c r="BK564" s="132"/>
      <c r="BL564" s="132"/>
      <c r="BM564" s="132"/>
      <c r="BN564" s="132"/>
      <c r="BO564" s="132"/>
      <c r="BP564" s="132"/>
      <c r="BQ564" s="132"/>
      <c r="BR564" s="132"/>
      <c r="BS564" s="132"/>
      <c r="BT564" s="132"/>
      <c r="BU564" s="132"/>
      <c r="BV564" s="132"/>
      <c r="BW564" s="132"/>
      <c r="BX564" s="132"/>
      <c r="BY564" s="132"/>
      <c r="BZ564" s="132"/>
      <c r="CA564" s="132"/>
      <c r="CB564" s="132"/>
      <c r="CC564" s="132"/>
      <c r="CD564" s="132"/>
      <c r="CE564" s="132"/>
      <c r="CF564" s="132"/>
      <c r="CG564" s="140"/>
    </row>
    <row r="565" spans="1:85" s="139" customFormat="1" ht="13.9" customHeight="1" x14ac:dyDescent="0.2">
      <c r="A565" s="208" t="s">
        <v>121</v>
      </c>
      <c r="B565" s="202">
        <v>31</v>
      </c>
      <c r="C565" s="203" t="s">
        <v>123</v>
      </c>
      <c r="D565" s="209" t="s">
        <v>63</v>
      </c>
      <c r="E565" s="210">
        <v>1721666</v>
      </c>
      <c r="F565" s="210">
        <v>20251978</v>
      </c>
      <c r="G565" s="210"/>
      <c r="H565" s="209" t="s">
        <v>698</v>
      </c>
      <c r="I565" s="203" t="s">
        <v>455</v>
      </c>
      <c r="J565" s="202">
        <v>1</v>
      </c>
      <c r="K565" s="202">
        <v>1</v>
      </c>
      <c r="L565" s="202">
        <v>11</v>
      </c>
      <c r="M565" s="185">
        <f t="shared" si="134"/>
        <v>1</v>
      </c>
      <c r="N565" s="193" t="s">
        <v>48</v>
      </c>
      <c r="O565" s="194" t="s">
        <v>49</v>
      </c>
      <c r="P565" s="211">
        <f t="shared" si="135"/>
        <v>1</v>
      </c>
      <c r="Q565" s="196">
        <f t="shared" si="128"/>
        <v>21973644</v>
      </c>
      <c r="R565" s="196">
        <f t="shared" si="129"/>
        <v>20251978</v>
      </c>
      <c r="S565" s="201" t="s">
        <v>217</v>
      </c>
      <c r="T565" s="211">
        <f t="shared" si="136"/>
        <v>0</v>
      </c>
      <c r="U565" s="198" t="str">
        <f t="shared" si="137"/>
        <v>SUBDIRECCION DE GESTION CONTRACTUAL</v>
      </c>
      <c r="V565" s="211" t="str">
        <f t="shared" si="138"/>
        <v>CO-DC</v>
      </c>
      <c r="W565" s="211" t="str">
        <f t="shared" si="139"/>
        <v>Distrito Capital de Bogotá</v>
      </c>
      <c r="X565" s="209" t="s">
        <v>436</v>
      </c>
      <c r="Y565" s="202">
        <v>2427400</v>
      </c>
      <c r="Z565" s="212" t="s">
        <v>125</v>
      </c>
      <c r="AA565" s="134"/>
      <c r="AB565" s="134"/>
      <c r="AC565" s="134"/>
      <c r="AD565" s="134"/>
      <c r="AE565" s="134"/>
      <c r="AF565" s="134"/>
      <c r="AG565" s="134"/>
      <c r="AH565" s="134"/>
      <c r="AI565" s="134"/>
      <c r="AJ565" s="134"/>
      <c r="AK565" s="134"/>
      <c r="AL565" s="134"/>
      <c r="AM565" s="134"/>
      <c r="AN565" s="134"/>
      <c r="AO565" s="134"/>
      <c r="AP565" s="134"/>
      <c r="AQ565" s="134"/>
      <c r="AR565" s="134"/>
      <c r="AS565" s="134"/>
      <c r="AT565" s="134"/>
      <c r="AU565" s="132"/>
      <c r="AV565" s="132"/>
      <c r="AW565" s="132"/>
      <c r="AX565" s="132"/>
      <c r="AY565" s="132"/>
      <c r="AZ565" s="132"/>
      <c r="BA565" s="132"/>
      <c r="BB565" s="132"/>
      <c r="BC565" s="132"/>
      <c r="BD565" s="132"/>
      <c r="BE565" s="132"/>
      <c r="BF565" s="132"/>
      <c r="BG565" s="132"/>
      <c r="BH565" s="132"/>
      <c r="BI565" s="132"/>
      <c r="BJ565" s="132"/>
      <c r="BK565" s="132"/>
      <c r="BL565" s="132"/>
      <c r="BM565" s="132"/>
      <c r="BN565" s="132"/>
      <c r="BO565" s="132"/>
      <c r="BP565" s="132"/>
      <c r="BQ565" s="132"/>
      <c r="BR565" s="132"/>
      <c r="BS565" s="132"/>
      <c r="BT565" s="132"/>
      <c r="BU565" s="132"/>
      <c r="BV565" s="132"/>
      <c r="BW565" s="132"/>
      <c r="BX565" s="132"/>
      <c r="BY565" s="132"/>
      <c r="BZ565" s="132"/>
      <c r="CA565" s="132"/>
      <c r="CB565" s="132"/>
      <c r="CC565" s="132"/>
      <c r="CD565" s="132"/>
      <c r="CE565" s="132"/>
      <c r="CF565" s="132"/>
      <c r="CG565" s="140"/>
    </row>
    <row r="566" spans="1:85" s="139" customFormat="1" ht="13.9" customHeight="1" x14ac:dyDescent="0.2">
      <c r="A566" s="208" t="s">
        <v>121</v>
      </c>
      <c r="B566" s="202">
        <v>32</v>
      </c>
      <c r="C566" s="203" t="s">
        <v>123</v>
      </c>
      <c r="D566" s="209" t="s">
        <v>63</v>
      </c>
      <c r="E566" s="210"/>
      <c r="F566" s="210">
        <v>5328198</v>
      </c>
      <c r="G566" s="210"/>
      <c r="H566" s="209" t="s">
        <v>698</v>
      </c>
      <c r="I566" s="203" t="s">
        <v>456</v>
      </c>
      <c r="J566" s="202">
        <v>10</v>
      </c>
      <c r="K566" s="202">
        <v>11</v>
      </c>
      <c r="L566" s="202">
        <v>12</v>
      </c>
      <c r="M566" s="185">
        <f t="shared" si="134"/>
        <v>1</v>
      </c>
      <c r="N566" s="193" t="s">
        <v>48</v>
      </c>
      <c r="O566" s="194" t="s">
        <v>49</v>
      </c>
      <c r="P566" s="211">
        <f t="shared" si="135"/>
        <v>1</v>
      </c>
      <c r="Q566" s="196">
        <f t="shared" si="128"/>
        <v>5328198</v>
      </c>
      <c r="R566" s="196">
        <f t="shared" si="129"/>
        <v>5328198</v>
      </c>
      <c r="S566" s="201">
        <v>0</v>
      </c>
      <c r="T566" s="211">
        <f t="shared" si="136"/>
        <v>0</v>
      </c>
      <c r="U566" s="198" t="str">
        <f t="shared" si="137"/>
        <v>SUBDIRECCION DE GESTION CONTRACTUAL</v>
      </c>
      <c r="V566" s="211" t="str">
        <f t="shared" si="138"/>
        <v>CO-DC</v>
      </c>
      <c r="W566" s="211" t="str">
        <f t="shared" si="139"/>
        <v>Distrito Capital de Bogotá</v>
      </c>
      <c r="X566" s="209" t="s">
        <v>436</v>
      </c>
      <c r="Y566" s="202">
        <v>2427400</v>
      </c>
      <c r="Z566" s="212" t="s">
        <v>125</v>
      </c>
      <c r="AA566" s="134"/>
      <c r="AB566" s="134"/>
      <c r="AC566" s="134"/>
      <c r="AD566" s="134"/>
      <c r="AE566" s="134"/>
      <c r="AF566" s="134"/>
      <c r="AG566" s="134"/>
      <c r="AH566" s="134"/>
      <c r="AI566" s="134"/>
      <c r="AJ566" s="134"/>
      <c r="AK566" s="134"/>
      <c r="AL566" s="134"/>
      <c r="AM566" s="134"/>
      <c r="AN566" s="134"/>
      <c r="AO566" s="134"/>
      <c r="AP566" s="134"/>
      <c r="AQ566" s="134"/>
      <c r="AR566" s="134"/>
      <c r="AS566" s="134"/>
      <c r="AT566" s="134"/>
      <c r="AU566" s="132"/>
      <c r="AV566" s="132"/>
      <c r="AW566" s="132"/>
      <c r="AX566" s="132"/>
      <c r="AY566" s="132"/>
      <c r="AZ566" s="132"/>
      <c r="BA566" s="132"/>
      <c r="BB566" s="132"/>
      <c r="BC566" s="132"/>
      <c r="BD566" s="132"/>
      <c r="BE566" s="132"/>
      <c r="BF566" s="132"/>
      <c r="BG566" s="132"/>
      <c r="BH566" s="132"/>
      <c r="BI566" s="132"/>
      <c r="BJ566" s="132"/>
      <c r="BK566" s="132"/>
      <c r="BL566" s="132"/>
      <c r="BM566" s="132"/>
      <c r="BN566" s="132"/>
      <c r="BO566" s="132"/>
      <c r="BP566" s="132"/>
      <c r="BQ566" s="132"/>
      <c r="BR566" s="132"/>
      <c r="BS566" s="132"/>
      <c r="BT566" s="132"/>
      <c r="BU566" s="132"/>
      <c r="BV566" s="132"/>
      <c r="BW566" s="132"/>
      <c r="BX566" s="132"/>
      <c r="BY566" s="132"/>
      <c r="BZ566" s="132"/>
      <c r="CA566" s="132"/>
      <c r="CB566" s="132"/>
      <c r="CC566" s="132"/>
      <c r="CD566" s="132"/>
      <c r="CE566" s="132"/>
      <c r="CF566" s="132"/>
      <c r="CG566" s="140"/>
    </row>
    <row r="567" spans="1:85" s="139" customFormat="1" ht="13.9" customHeight="1" x14ac:dyDescent="0.2">
      <c r="A567" s="208" t="s">
        <v>121</v>
      </c>
      <c r="B567" s="202">
        <v>33</v>
      </c>
      <c r="C567" s="203" t="s">
        <v>123</v>
      </c>
      <c r="D567" s="209" t="s">
        <v>63</v>
      </c>
      <c r="E567" s="210"/>
      <c r="F567" s="210">
        <f>91879901+10000000</f>
        <v>101879901</v>
      </c>
      <c r="G567" s="210"/>
      <c r="H567" s="209" t="s">
        <v>696</v>
      </c>
      <c r="I567" s="203" t="s">
        <v>775</v>
      </c>
      <c r="J567" s="202">
        <v>2</v>
      </c>
      <c r="K567" s="202">
        <v>3</v>
      </c>
      <c r="L567" s="202">
        <v>9</v>
      </c>
      <c r="M567" s="185">
        <f t="shared" si="134"/>
        <v>1</v>
      </c>
      <c r="N567" s="193" t="s">
        <v>36</v>
      </c>
      <c r="O567" s="194" t="s">
        <v>256</v>
      </c>
      <c r="P567" s="211">
        <f t="shared" si="135"/>
        <v>1</v>
      </c>
      <c r="Q567" s="196">
        <f t="shared" si="128"/>
        <v>101879901</v>
      </c>
      <c r="R567" s="196">
        <f t="shared" si="129"/>
        <v>101879901</v>
      </c>
      <c r="S567" s="201" t="s">
        <v>217</v>
      </c>
      <c r="T567" s="211">
        <f t="shared" si="136"/>
        <v>0</v>
      </c>
      <c r="U567" s="198" t="str">
        <f t="shared" si="137"/>
        <v>SUBDIRECCION DE GESTION CONTRACTUAL</v>
      </c>
      <c r="V567" s="211" t="str">
        <f t="shared" si="138"/>
        <v>CO-DC</v>
      </c>
      <c r="W567" s="211" t="str">
        <f t="shared" si="139"/>
        <v>Distrito Capital de Bogotá</v>
      </c>
      <c r="X567" s="209" t="s">
        <v>436</v>
      </c>
      <c r="Y567" s="202">
        <v>2427400</v>
      </c>
      <c r="Z567" s="212" t="s">
        <v>125</v>
      </c>
      <c r="AA567" s="134"/>
      <c r="AB567" s="134"/>
      <c r="AC567" s="134"/>
      <c r="AD567" s="134"/>
      <c r="AE567" s="134"/>
      <c r="AF567" s="134"/>
      <c r="AG567" s="134"/>
      <c r="AH567" s="134"/>
      <c r="AI567" s="134"/>
      <c r="AJ567" s="134"/>
      <c r="AK567" s="134"/>
      <c r="AL567" s="134"/>
      <c r="AM567" s="134"/>
      <c r="AN567" s="134"/>
      <c r="AO567" s="134"/>
      <c r="AP567" s="134"/>
      <c r="AQ567" s="134"/>
      <c r="AR567" s="134"/>
      <c r="AS567" s="134"/>
      <c r="AT567" s="134"/>
      <c r="AU567" s="132"/>
      <c r="AV567" s="132"/>
      <c r="AW567" s="132"/>
      <c r="AX567" s="132"/>
      <c r="AY567" s="132"/>
      <c r="AZ567" s="132"/>
      <c r="BA567" s="132"/>
      <c r="BB567" s="132"/>
      <c r="BC567" s="132"/>
      <c r="BD567" s="132"/>
      <c r="BE567" s="132"/>
      <c r="BF567" s="132"/>
      <c r="BG567" s="132"/>
      <c r="BH567" s="132"/>
      <c r="BI567" s="132"/>
      <c r="BJ567" s="132"/>
      <c r="BK567" s="132"/>
      <c r="BL567" s="132"/>
      <c r="BM567" s="132"/>
      <c r="BN567" s="132"/>
      <c r="BO567" s="132"/>
      <c r="BP567" s="132"/>
      <c r="BQ567" s="132"/>
      <c r="BR567" s="132"/>
      <c r="BS567" s="132"/>
      <c r="BT567" s="132"/>
      <c r="BU567" s="132"/>
      <c r="BV567" s="132"/>
      <c r="BW567" s="132"/>
      <c r="BX567" s="132"/>
      <c r="BY567" s="132"/>
      <c r="BZ567" s="132"/>
      <c r="CA567" s="132"/>
      <c r="CB567" s="132"/>
      <c r="CC567" s="132"/>
      <c r="CD567" s="132"/>
      <c r="CE567" s="132"/>
      <c r="CF567" s="132"/>
      <c r="CG567" s="140"/>
    </row>
    <row r="568" spans="1:85" s="139" customFormat="1" ht="13.9" customHeight="1" x14ac:dyDescent="0.2">
      <c r="A568" s="208" t="s">
        <v>121</v>
      </c>
      <c r="B568" s="202">
        <v>34</v>
      </c>
      <c r="C568" s="203" t="s">
        <v>123</v>
      </c>
      <c r="D568" s="209" t="s">
        <v>63</v>
      </c>
      <c r="E568" s="210"/>
      <c r="F568" s="210">
        <f>2289210*11</f>
        <v>25181310</v>
      </c>
      <c r="G568" s="210"/>
      <c r="H568" s="209">
        <v>72101506</v>
      </c>
      <c r="I568" s="203" t="s">
        <v>457</v>
      </c>
      <c r="J568" s="202">
        <v>2</v>
      </c>
      <c r="K568" s="202">
        <v>2</v>
      </c>
      <c r="L568" s="202">
        <v>11</v>
      </c>
      <c r="M568" s="185">
        <f t="shared" si="134"/>
        <v>1</v>
      </c>
      <c r="N568" s="193" t="s">
        <v>36</v>
      </c>
      <c r="O568" s="194" t="s">
        <v>256</v>
      </c>
      <c r="P568" s="211">
        <f t="shared" si="135"/>
        <v>1</v>
      </c>
      <c r="Q568" s="196">
        <f t="shared" si="128"/>
        <v>25181310</v>
      </c>
      <c r="R568" s="196">
        <f t="shared" si="129"/>
        <v>25181310</v>
      </c>
      <c r="S568" s="201" t="s">
        <v>217</v>
      </c>
      <c r="T568" s="211">
        <f t="shared" si="136"/>
        <v>0</v>
      </c>
      <c r="U568" s="198" t="str">
        <f t="shared" si="137"/>
        <v>SUBDIRECCION DE GESTION CONTRACTUAL</v>
      </c>
      <c r="V568" s="211" t="str">
        <f t="shared" si="138"/>
        <v>CO-DC</v>
      </c>
      <c r="W568" s="211" t="str">
        <f t="shared" si="139"/>
        <v>Distrito Capital de Bogotá</v>
      </c>
      <c r="X568" s="209" t="s">
        <v>436</v>
      </c>
      <c r="Y568" s="202">
        <v>2427400</v>
      </c>
      <c r="Z568" s="212" t="s">
        <v>125</v>
      </c>
      <c r="AA568" s="134"/>
      <c r="AB568" s="134"/>
      <c r="AC568" s="134"/>
      <c r="AD568" s="134"/>
      <c r="AE568" s="134"/>
      <c r="AF568" s="134"/>
      <c r="AG568" s="134"/>
      <c r="AH568" s="134"/>
      <c r="AI568" s="134"/>
      <c r="AJ568" s="134"/>
      <c r="AK568" s="134"/>
      <c r="AL568" s="134"/>
      <c r="AM568" s="134"/>
      <c r="AN568" s="134"/>
      <c r="AO568" s="134"/>
      <c r="AP568" s="134"/>
      <c r="AQ568" s="134"/>
      <c r="AR568" s="134"/>
      <c r="AS568" s="134"/>
      <c r="AT568" s="134"/>
      <c r="AU568" s="132"/>
      <c r="AV568" s="132"/>
      <c r="AW568" s="132"/>
      <c r="AX568" s="132"/>
      <c r="AY568" s="132"/>
      <c r="AZ568" s="132"/>
      <c r="BA568" s="132"/>
      <c r="BB568" s="132"/>
      <c r="BC568" s="132"/>
      <c r="BD568" s="132"/>
      <c r="BE568" s="132"/>
      <c r="BF568" s="132"/>
      <c r="BG568" s="132"/>
      <c r="BH568" s="132"/>
      <c r="BI568" s="132"/>
      <c r="BJ568" s="132"/>
      <c r="BK568" s="132"/>
      <c r="BL568" s="132"/>
      <c r="BM568" s="132"/>
      <c r="BN568" s="132"/>
      <c r="BO568" s="132"/>
      <c r="BP568" s="132"/>
      <c r="BQ568" s="132"/>
      <c r="BR568" s="132"/>
      <c r="BS568" s="132"/>
      <c r="BT568" s="132"/>
      <c r="BU568" s="132"/>
      <c r="BV568" s="132"/>
      <c r="BW568" s="132"/>
      <c r="BX568" s="132"/>
      <c r="BY568" s="132"/>
      <c r="BZ568" s="132"/>
      <c r="CA568" s="132"/>
      <c r="CB568" s="132"/>
      <c r="CC568" s="132"/>
      <c r="CD568" s="132"/>
      <c r="CE568" s="132"/>
      <c r="CF568" s="132"/>
      <c r="CG568" s="140"/>
    </row>
    <row r="569" spans="1:85" s="139" customFormat="1" ht="13.9" customHeight="1" x14ac:dyDescent="0.2">
      <c r="A569" s="208" t="s">
        <v>121</v>
      </c>
      <c r="B569" s="202">
        <v>35</v>
      </c>
      <c r="C569" s="203" t="s">
        <v>123</v>
      </c>
      <c r="D569" s="209" t="s">
        <v>63</v>
      </c>
      <c r="E569" s="210">
        <v>5564669</v>
      </c>
      <c r="F569" s="210">
        <v>55646690</v>
      </c>
      <c r="G569" s="210"/>
      <c r="H569" s="209" t="s">
        <v>232</v>
      </c>
      <c r="I569" s="203" t="s">
        <v>458</v>
      </c>
      <c r="J569" s="202">
        <v>1</v>
      </c>
      <c r="K569" s="202">
        <v>1</v>
      </c>
      <c r="L569" s="202">
        <v>11</v>
      </c>
      <c r="M569" s="185">
        <f t="shared" si="134"/>
        <v>1</v>
      </c>
      <c r="N569" s="193" t="s">
        <v>48</v>
      </c>
      <c r="O569" s="194" t="s">
        <v>49</v>
      </c>
      <c r="P569" s="211">
        <f t="shared" si="135"/>
        <v>1</v>
      </c>
      <c r="Q569" s="196">
        <f t="shared" si="128"/>
        <v>61211359</v>
      </c>
      <c r="R569" s="196">
        <f t="shared" si="129"/>
        <v>55646690</v>
      </c>
      <c r="S569" s="201" t="s">
        <v>217</v>
      </c>
      <c r="T569" s="211">
        <f t="shared" si="136"/>
        <v>0</v>
      </c>
      <c r="U569" s="198" t="str">
        <f t="shared" si="137"/>
        <v>SUBDIRECCION DE GESTION CONTRACTUAL</v>
      </c>
      <c r="V569" s="211" t="str">
        <f t="shared" si="138"/>
        <v>CO-DC</v>
      </c>
      <c r="W569" s="211" t="str">
        <f t="shared" si="139"/>
        <v>Distrito Capital de Bogotá</v>
      </c>
      <c r="X569" s="209" t="s">
        <v>444</v>
      </c>
      <c r="Y569" s="202">
        <v>2427400</v>
      </c>
      <c r="Z569" s="212" t="s">
        <v>445</v>
      </c>
      <c r="AA569" s="134"/>
      <c r="AB569" s="134"/>
      <c r="AC569" s="134"/>
      <c r="AD569" s="134"/>
      <c r="AE569" s="134"/>
      <c r="AF569" s="134"/>
      <c r="AG569" s="134"/>
      <c r="AH569" s="134"/>
      <c r="AI569" s="134"/>
      <c r="AJ569" s="134"/>
      <c r="AK569" s="134"/>
      <c r="AL569" s="134"/>
      <c r="AM569" s="134"/>
      <c r="AN569" s="134"/>
      <c r="AO569" s="134"/>
      <c r="AP569" s="134"/>
      <c r="AQ569" s="134"/>
      <c r="AR569" s="134"/>
      <c r="AS569" s="134"/>
      <c r="AT569" s="134"/>
      <c r="AU569" s="132"/>
      <c r="AV569" s="132"/>
      <c r="AW569" s="132"/>
      <c r="AX569" s="132"/>
      <c r="AY569" s="132"/>
      <c r="AZ569" s="132"/>
      <c r="BA569" s="132"/>
      <c r="BB569" s="132"/>
      <c r="BC569" s="132"/>
      <c r="BD569" s="132"/>
      <c r="BE569" s="132"/>
      <c r="BF569" s="132"/>
      <c r="BG569" s="132"/>
      <c r="BH569" s="132"/>
      <c r="BI569" s="132"/>
      <c r="BJ569" s="132"/>
      <c r="BK569" s="132"/>
      <c r="BL569" s="132"/>
      <c r="BM569" s="132"/>
      <c r="BN569" s="132"/>
      <c r="BO569" s="132"/>
      <c r="BP569" s="132"/>
      <c r="BQ569" s="132"/>
      <c r="BR569" s="132"/>
      <c r="BS569" s="132"/>
      <c r="BT569" s="132"/>
      <c r="BU569" s="132"/>
      <c r="BV569" s="132"/>
      <c r="BW569" s="132"/>
      <c r="BX569" s="132"/>
      <c r="BY569" s="132"/>
      <c r="BZ569" s="132"/>
      <c r="CA569" s="132"/>
      <c r="CB569" s="132"/>
      <c r="CC569" s="132"/>
      <c r="CD569" s="132"/>
      <c r="CE569" s="132"/>
      <c r="CF569" s="132"/>
      <c r="CG569" s="140"/>
    </row>
    <row r="570" spans="1:85" s="139" customFormat="1" ht="13.9" customHeight="1" x14ac:dyDescent="0.2">
      <c r="A570" s="208" t="s">
        <v>121</v>
      </c>
      <c r="B570" s="202">
        <v>36</v>
      </c>
      <c r="C570" s="203" t="s">
        <v>123</v>
      </c>
      <c r="D570" s="209" t="s">
        <v>63</v>
      </c>
      <c r="E570" s="210"/>
      <c r="F570" s="210">
        <v>12700000</v>
      </c>
      <c r="G570" s="210"/>
      <c r="H570" s="209" t="s">
        <v>232</v>
      </c>
      <c r="I570" s="203" t="s">
        <v>459</v>
      </c>
      <c r="J570" s="202">
        <v>11</v>
      </c>
      <c r="K570" s="202">
        <v>11</v>
      </c>
      <c r="L570" s="202">
        <v>12</v>
      </c>
      <c r="M570" s="185">
        <f t="shared" si="134"/>
        <v>1</v>
      </c>
      <c r="N570" s="193" t="s">
        <v>53</v>
      </c>
      <c r="O570" s="194" t="s">
        <v>54</v>
      </c>
      <c r="P570" s="211">
        <f t="shared" si="135"/>
        <v>1</v>
      </c>
      <c r="Q570" s="196">
        <f t="shared" si="128"/>
        <v>12700000</v>
      </c>
      <c r="R570" s="196">
        <f t="shared" si="129"/>
        <v>12700000</v>
      </c>
      <c r="S570" s="201">
        <v>0</v>
      </c>
      <c r="T570" s="211">
        <f t="shared" si="136"/>
        <v>0</v>
      </c>
      <c r="U570" s="198" t="str">
        <f t="shared" si="137"/>
        <v>SUBDIRECCION DE GESTION CONTRACTUAL</v>
      </c>
      <c r="V570" s="211" t="str">
        <f t="shared" si="138"/>
        <v>CO-DC</v>
      </c>
      <c r="W570" s="211" t="str">
        <f t="shared" si="139"/>
        <v>Distrito Capital de Bogotá</v>
      </c>
      <c r="X570" s="209" t="s">
        <v>444</v>
      </c>
      <c r="Y570" s="202">
        <v>2427400</v>
      </c>
      <c r="Z570" s="212" t="s">
        <v>445</v>
      </c>
      <c r="AA570" s="134"/>
      <c r="AB570" s="134"/>
      <c r="AC570" s="134"/>
      <c r="AD570" s="134"/>
      <c r="AE570" s="134"/>
      <c r="AF570" s="134"/>
      <c r="AG570" s="134"/>
      <c r="AH570" s="134"/>
      <c r="AI570" s="134"/>
      <c r="AJ570" s="134"/>
      <c r="AK570" s="134"/>
      <c r="AL570" s="134"/>
      <c r="AM570" s="134"/>
      <c r="AN570" s="134"/>
      <c r="AO570" s="134"/>
      <c r="AP570" s="134"/>
      <c r="AQ570" s="134"/>
      <c r="AR570" s="134"/>
      <c r="AS570" s="134"/>
      <c r="AT570" s="134"/>
      <c r="AU570" s="132"/>
      <c r="AV570" s="132"/>
      <c r="AW570" s="132"/>
      <c r="AX570" s="132"/>
      <c r="AY570" s="132"/>
      <c r="AZ570" s="132"/>
      <c r="BA570" s="132"/>
      <c r="BB570" s="132"/>
      <c r="BC570" s="132"/>
      <c r="BD570" s="132"/>
      <c r="BE570" s="132"/>
      <c r="BF570" s="132"/>
      <c r="BG570" s="132"/>
      <c r="BH570" s="132"/>
      <c r="BI570" s="132"/>
      <c r="BJ570" s="132"/>
      <c r="BK570" s="132"/>
      <c r="BL570" s="132"/>
      <c r="BM570" s="132"/>
      <c r="BN570" s="132"/>
      <c r="BO570" s="132"/>
      <c r="BP570" s="132"/>
      <c r="BQ570" s="132"/>
      <c r="BR570" s="132"/>
      <c r="BS570" s="132"/>
      <c r="BT570" s="132"/>
      <c r="BU570" s="132"/>
      <c r="BV570" s="132"/>
      <c r="BW570" s="132"/>
      <c r="BX570" s="132"/>
      <c r="BY570" s="132"/>
      <c r="BZ570" s="132"/>
      <c r="CA570" s="132"/>
      <c r="CB570" s="132"/>
      <c r="CC570" s="132"/>
      <c r="CD570" s="132"/>
      <c r="CE570" s="132"/>
      <c r="CF570" s="132"/>
      <c r="CG570" s="140"/>
    </row>
    <row r="571" spans="1:85" s="139" customFormat="1" ht="13.9" customHeight="1" x14ac:dyDescent="0.2">
      <c r="A571" s="208" t="s">
        <v>121</v>
      </c>
      <c r="B571" s="202">
        <v>37</v>
      </c>
      <c r="C571" s="203" t="s">
        <v>123</v>
      </c>
      <c r="D571" s="209" t="s">
        <v>63</v>
      </c>
      <c r="E571" s="210">
        <v>8550524</v>
      </c>
      <c r="F571" s="210">
        <v>85505239</v>
      </c>
      <c r="G571" s="210"/>
      <c r="H571" s="209" t="s">
        <v>232</v>
      </c>
      <c r="I571" s="203" t="s">
        <v>460</v>
      </c>
      <c r="J571" s="202">
        <v>1</v>
      </c>
      <c r="K571" s="202">
        <v>1</v>
      </c>
      <c r="L571" s="202">
        <v>11</v>
      </c>
      <c r="M571" s="185">
        <f t="shared" si="134"/>
        <v>1</v>
      </c>
      <c r="N571" s="193" t="s">
        <v>53</v>
      </c>
      <c r="O571" s="194" t="s">
        <v>54</v>
      </c>
      <c r="P571" s="211">
        <f t="shared" si="135"/>
        <v>1</v>
      </c>
      <c r="Q571" s="196">
        <f t="shared" si="128"/>
        <v>94055763</v>
      </c>
      <c r="R571" s="196">
        <f t="shared" si="129"/>
        <v>85505239</v>
      </c>
      <c r="S571" s="201" t="s">
        <v>217</v>
      </c>
      <c r="T571" s="211">
        <f t="shared" si="136"/>
        <v>0</v>
      </c>
      <c r="U571" s="198" t="str">
        <f t="shared" si="137"/>
        <v>SUBDIRECCION DE GESTION CONTRACTUAL</v>
      </c>
      <c r="V571" s="211" t="str">
        <f t="shared" si="138"/>
        <v>CO-DC</v>
      </c>
      <c r="W571" s="211" t="str">
        <f t="shared" si="139"/>
        <v>Distrito Capital de Bogotá</v>
      </c>
      <c r="X571" s="209" t="s">
        <v>444</v>
      </c>
      <c r="Y571" s="202">
        <v>2427400</v>
      </c>
      <c r="Z571" s="212" t="s">
        <v>445</v>
      </c>
      <c r="AA571" s="134"/>
      <c r="AB571" s="134"/>
      <c r="AC571" s="134"/>
      <c r="AD571" s="134"/>
      <c r="AE571" s="134"/>
      <c r="AF571" s="134"/>
      <c r="AG571" s="134"/>
      <c r="AH571" s="134"/>
      <c r="AI571" s="134"/>
      <c r="AJ571" s="134"/>
      <c r="AK571" s="134"/>
      <c r="AL571" s="134"/>
      <c r="AM571" s="134"/>
      <c r="AN571" s="134"/>
      <c r="AO571" s="134"/>
      <c r="AP571" s="134"/>
      <c r="AQ571" s="134"/>
      <c r="AR571" s="134"/>
      <c r="AS571" s="134"/>
      <c r="AT571" s="134"/>
      <c r="AU571" s="132"/>
      <c r="AV571" s="132"/>
      <c r="AW571" s="132"/>
      <c r="AX571" s="132"/>
      <c r="AY571" s="132"/>
      <c r="AZ571" s="132"/>
      <c r="BA571" s="132"/>
      <c r="BB571" s="132"/>
      <c r="BC571" s="132"/>
      <c r="BD571" s="132"/>
      <c r="BE571" s="132"/>
      <c r="BF571" s="132"/>
      <c r="BG571" s="132"/>
      <c r="BH571" s="132"/>
      <c r="BI571" s="132"/>
      <c r="BJ571" s="132"/>
      <c r="BK571" s="132"/>
      <c r="BL571" s="132"/>
      <c r="BM571" s="132"/>
      <c r="BN571" s="132"/>
      <c r="BO571" s="132"/>
      <c r="BP571" s="132"/>
      <c r="BQ571" s="132"/>
      <c r="BR571" s="132"/>
      <c r="BS571" s="132"/>
      <c r="BT571" s="132"/>
      <c r="BU571" s="132"/>
      <c r="BV571" s="132"/>
      <c r="BW571" s="132"/>
      <c r="BX571" s="132"/>
      <c r="BY571" s="132"/>
      <c r="BZ571" s="132"/>
      <c r="CA571" s="132"/>
      <c r="CB571" s="132"/>
      <c r="CC571" s="132"/>
      <c r="CD571" s="132"/>
      <c r="CE571" s="132"/>
      <c r="CF571" s="132"/>
      <c r="CG571" s="140"/>
    </row>
    <row r="572" spans="1:85" s="139" customFormat="1" ht="13.9" customHeight="1" x14ac:dyDescent="0.2">
      <c r="A572" s="208" t="s">
        <v>121</v>
      </c>
      <c r="B572" s="202">
        <v>38</v>
      </c>
      <c r="C572" s="203" t="s">
        <v>123</v>
      </c>
      <c r="D572" s="209" t="s">
        <v>63</v>
      </c>
      <c r="E572" s="210">
        <v>1000000</v>
      </c>
      <c r="F572" s="210">
        <v>10000000</v>
      </c>
      <c r="G572" s="210"/>
      <c r="H572" s="209" t="s">
        <v>232</v>
      </c>
      <c r="I572" s="203" t="s">
        <v>461</v>
      </c>
      <c r="J572" s="202">
        <v>1</v>
      </c>
      <c r="K572" s="202">
        <v>1</v>
      </c>
      <c r="L572" s="202">
        <v>11</v>
      </c>
      <c r="M572" s="185">
        <f t="shared" si="134"/>
        <v>1</v>
      </c>
      <c r="N572" s="193" t="s">
        <v>53</v>
      </c>
      <c r="O572" s="194" t="s">
        <v>54</v>
      </c>
      <c r="P572" s="211">
        <f t="shared" si="135"/>
        <v>1</v>
      </c>
      <c r="Q572" s="196">
        <f t="shared" si="128"/>
        <v>11000000</v>
      </c>
      <c r="R572" s="196">
        <f t="shared" si="129"/>
        <v>10000000</v>
      </c>
      <c r="S572" s="201" t="s">
        <v>217</v>
      </c>
      <c r="T572" s="211">
        <f t="shared" si="136"/>
        <v>0</v>
      </c>
      <c r="U572" s="198" t="str">
        <f t="shared" si="137"/>
        <v>SUBDIRECCION DE GESTION CONTRACTUAL</v>
      </c>
      <c r="V572" s="211" t="str">
        <f t="shared" si="138"/>
        <v>CO-DC</v>
      </c>
      <c r="W572" s="211" t="str">
        <f t="shared" si="139"/>
        <v>Distrito Capital de Bogotá</v>
      </c>
      <c r="X572" s="209" t="s">
        <v>444</v>
      </c>
      <c r="Y572" s="202">
        <v>2427400</v>
      </c>
      <c r="Z572" s="212" t="s">
        <v>445</v>
      </c>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2"/>
      <c r="AV572" s="132"/>
      <c r="AW572" s="132"/>
      <c r="AX572" s="132"/>
      <c r="AY572" s="132"/>
      <c r="AZ572" s="132"/>
      <c r="BA572" s="132"/>
      <c r="BB572" s="132"/>
      <c r="BC572" s="132"/>
      <c r="BD572" s="132"/>
      <c r="BE572" s="132"/>
      <c r="BF572" s="132"/>
      <c r="BG572" s="132"/>
      <c r="BH572" s="132"/>
      <c r="BI572" s="132"/>
      <c r="BJ572" s="132"/>
      <c r="BK572" s="132"/>
      <c r="BL572" s="132"/>
      <c r="BM572" s="132"/>
      <c r="BN572" s="132"/>
      <c r="BO572" s="132"/>
      <c r="BP572" s="132"/>
      <c r="BQ572" s="132"/>
      <c r="BR572" s="132"/>
      <c r="BS572" s="132"/>
      <c r="BT572" s="132"/>
      <c r="BU572" s="132"/>
      <c r="BV572" s="132"/>
      <c r="BW572" s="132"/>
      <c r="BX572" s="132"/>
      <c r="BY572" s="132"/>
      <c r="BZ572" s="132"/>
      <c r="CA572" s="132"/>
      <c r="CB572" s="132"/>
      <c r="CC572" s="132"/>
      <c r="CD572" s="132"/>
      <c r="CE572" s="132"/>
      <c r="CF572" s="132"/>
      <c r="CG572" s="140"/>
    </row>
    <row r="573" spans="1:85" s="139" customFormat="1" ht="13.9" customHeight="1" x14ac:dyDescent="0.2">
      <c r="A573" s="208" t="s">
        <v>121</v>
      </c>
      <c r="B573" s="202">
        <v>39</v>
      </c>
      <c r="C573" s="203" t="s">
        <v>123</v>
      </c>
      <c r="D573" s="209" t="s">
        <v>63</v>
      </c>
      <c r="E573" s="210">
        <v>1000000</v>
      </c>
      <c r="F573" s="210">
        <v>10000000</v>
      </c>
      <c r="G573" s="210"/>
      <c r="H573" s="209" t="s">
        <v>232</v>
      </c>
      <c r="I573" s="203" t="s">
        <v>462</v>
      </c>
      <c r="J573" s="202">
        <v>1</v>
      </c>
      <c r="K573" s="202">
        <v>1</v>
      </c>
      <c r="L573" s="202">
        <v>11</v>
      </c>
      <c r="M573" s="185">
        <f t="shared" si="134"/>
        <v>1</v>
      </c>
      <c r="N573" s="193" t="s">
        <v>53</v>
      </c>
      <c r="O573" s="194" t="s">
        <v>54</v>
      </c>
      <c r="P573" s="211">
        <f t="shared" si="135"/>
        <v>1</v>
      </c>
      <c r="Q573" s="196">
        <f t="shared" si="128"/>
        <v>11000000</v>
      </c>
      <c r="R573" s="196">
        <f t="shared" si="129"/>
        <v>10000000</v>
      </c>
      <c r="S573" s="201" t="s">
        <v>217</v>
      </c>
      <c r="T573" s="211">
        <f t="shared" si="136"/>
        <v>0</v>
      </c>
      <c r="U573" s="198" t="str">
        <f t="shared" si="137"/>
        <v>SUBDIRECCION DE GESTION CONTRACTUAL</v>
      </c>
      <c r="V573" s="211" t="str">
        <f t="shared" si="138"/>
        <v>CO-DC</v>
      </c>
      <c r="W573" s="211" t="str">
        <f t="shared" si="139"/>
        <v>Distrito Capital de Bogotá</v>
      </c>
      <c r="X573" s="209" t="s">
        <v>444</v>
      </c>
      <c r="Y573" s="202">
        <v>2427400</v>
      </c>
      <c r="Z573" s="212" t="s">
        <v>445</v>
      </c>
      <c r="AA573" s="134"/>
      <c r="AB573" s="134"/>
      <c r="AC573" s="134"/>
      <c r="AD573" s="134"/>
      <c r="AE573" s="134"/>
      <c r="AF573" s="134"/>
      <c r="AG573" s="134"/>
      <c r="AH573" s="134"/>
      <c r="AI573" s="134"/>
      <c r="AJ573" s="134"/>
      <c r="AK573" s="134"/>
      <c r="AL573" s="134"/>
      <c r="AM573" s="134"/>
      <c r="AN573" s="134"/>
      <c r="AO573" s="134"/>
      <c r="AP573" s="134"/>
      <c r="AQ573" s="134"/>
      <c r="AR573" s="134"/>
      <c r="AS573" s="134"/>
      <c r="AT573" s="134"/>
      <c r="AU573" s="132"/>
      <c r="AV573" s="132"/>
      <c r="AW573" s="132"/>
      <c r="AX573" s="132"/>
      <c r="AY573" s="132"/>
      <c r="AZ573" s="132"/>
      <c r="BA573" s="132"/>
      <c r="BB573" s="132"/>
      <c r="BC573" s="132"/>
      <c r="BD573" s="132"/>
      <c r="BE573" s="132"/>
      <c r="BF573" s="132"/>
      <c r="BG573" s="132"/>
      <c r="BH573" s="132"/>
      <c r="BI573" s="132"/>
      <c r="BJ573" s="132"/>
      <c r="BK573" s="132"/>
      <c r="BL573" s="132"/>
      <c r="BM573" s="132"/>
      <c r="BN573" s="132"/>
      <c r="BO573" s="132"/>
      <c r="BP573" s="132"/>
      <c r="BQ573" s="132"/>
      <c r="BR573" s="132"/>
      <c r="BS573" s="132"/>
      <c r="BT573" s="132"/>
      <c r="BU573" s="132"/>
      <c r="BV573" s="132"/>
      <c r="BW573" s="132"/>
      <c r="BX573" s="132"/>
      <c r="BY573" s="132"/>
      <c r="BZ573" s="132"/>
      <c r="CA573" s="132"/>
      <c r="CB573" s="132"/>
      <c r="CC573" s="132"/>
      <c r="CD573" s="132"/>
      <c r="CE573" s="132"/>
      <c r="CF573" s="132"/>
      <c r="CG573" s="140"/>
    </row>
    <row r="574" spans="1:85" s="139" customFormat="1" ht="13.9" customHeight="1" x14ac:dyDescent="0.2">
      <c r="A574" s="208" t="s">
        <v>121</v>
      </c>
      <c r="B574" s="202">
        <v>40</v>
      </c>
      <c r="C574" s="203" t="s">
        <v>123</v>
      </c>
      <c r="D574" s="209" t="s">
        <v>63</v>
      </c>
      <c r="E574" s="210">
        <v>1200000</v>
      </c>
      <c r="F574" s="210">
        <v>12000000</v>
      </c>
      <c r="G574" s="210"/>
      <c r="H574" s="209" t="s">
        <v>232</v>
      </c>
      <c r="I574" s="203" t="s">
        <v>463</v>
      </c>
      <c r="J574" s="202">
        <v>1</v>
      </c>
      <c r="K574" s="202">
        <v>1</v>
      </c>
      <c r="L574" s="202">
        <v>11</v>
      </c>
      <c r="M574" s="185">
        <f t="shared" si="134"/>
        <v>1</v>
      </c>
      <c r="N574" s="193" t="s">
        <v>53</v>
      </c>
      <c r="O574" s="194" t="s">
        <v>54</v>
      </c>
      <c r="P574" s="211">
        <f t="shared" si="135"/>
        <v>1</v>
      </c>
      <c r="Q574" s="196">
        <f t="shared" si="128"/>
        <v>13200000</v>
      </c>
      <c r="R574" s="196">
        <f t="shared" si="129"/>
        <v>12000000</v>
      </c>
      <c r="S574" s="201" t="s">
        <v>217</v>
      </c>
      <c r="T574" s="211">
        <f t="shared" si="136"/>
        <v>0</v>
      </c>
      <c r="U574" s="198" t="str">
        <f t="shared" si="137"/>
        <v>SUBDIRECCION DE GESTION CONTRACTUAL</v>
      </c>
      <c r="V574" s="211" t="str">
        <f t="shared" si="138"/>
        <v>CO-DC</v>
      </c>
      <c r="W574" s="211" t="str">
        <f t="shared" si="139"/>
        <v>Distrito Capital de Bogotá</v>
      </c>
      <c r="X574" s="209" t="s">
        <v>444</v>
      </c>
      <c r="Y574" s="202">
        <v>2427400</v>
      </c>
      <c r="Z574" s="212" t="s">
        <v>445</v>
      </c>
      <c r="AA574" s="134"/>
      <c r="AB574" s="134"/>
      <c r="AC574" s="134"/>
      <c r="AD574" s="134"/>
      <c r="AE574" s="134"/>
      <c r="AF574" s="134"/>
      <c r="AG574" s="134"/>
      <c r="AH574" s="134"/>
      <c r="AI574" s="134"/>
      <c r="AJ574" s="134"/>
      <c r="AK574" s="134"/>
      <c r="AL574" s="134"/>
      <c r="AM574" s="134"/>
      <c r="AN574" s="134"/>
      <c r="AO574" s="134"/>
      <c r="AP574" s="134"/>
      <c r="AQ574" s="134"/>
      <c r="AR574" s="134"/>
      <c r="AS574" s="134"/>
      <c r="AT574" s="134"/>
      <c r="AU574" s="132"/>
      <c r="AV574" s="132"/>
      <c r="AW574" s="132"/>
      <c r="AX574" s="132"/>
      <c r="AY574" s="132"/>
      <c r="AZ574" s="132"/>
      <c r="BA574" s="132"/>
      <c r="BB574" s="132"/>
      <c r="BC574" s="132"/>
      <c r="BD574" s="132"/>
      <c r="BE574" s="132"/>
      <c r="BF574" s="132"/>
      <c r="BG574" s="132"/>
      <c r="BH574" s="132"/>
      <c r="BI574" s="132"/>
      <c r="BJ574" s="132"/>
      <c r="BK574" s="132"/>
      <c r="BL574" s="132"/>
      <c r="BM574" s="132"/>
      <c r="BN574" s="132"/>
      <c r="BO574" s="132"/>
      <c r="BP574" s="132"/>
      <c r="BQ574" s="132"/>
      <c r="BR574" s="132"/>
      <c r="BS574" s="132"/>
      <c r="BT574" s="132"/>
      <c r="BU574" s="132"/>
      <c r="BV574" s="132"/>
      <c r="BW574" s="132"/>
      <c r="BX574" s="132"/>
      <c r="BY574" s="132"/>
      <c r="BZ574" s="132"/>
      <c r="CA574" s="132"/>
      <c r="CB574" s="132"/>
      <c r="CC574" s="132"/>
      <c r="CD574" s="132"/>
      <c r="CE574" s="132"/>
      <c r="CF574" s="132"/>
      <c r="CG574" s="140"/>
    </row>
    <row r="575" spans="1:85" s="139" customFormat="1" ht="13.9" customHeight="1" x14ac:dyDescent="0.2">
      <c r="A575" s="208" t="s">
        <v>121</v>
      </c>
      <c r="B575" s="202">
        <v>41</v>
      </c>
      <c r="C575" s="203" t="s">
        <v>123</v>
      </c>
      <c r="D575" s="209" t="s">
        <v>63</v>
      </c>
      <c r="E575" s="210">
        <v>1145296</v>
      </c>
      <c r="F575" s="210">
        <v>11452963</v>
      </c>
      <c r="G575" s="210"/>
      <c r="H575" s="209" t="s">
        <v>232</v>
      </c>
      <c r="I575" s="203" t="s">
        <v>464</v>
      </c>
      <c r="J575" s="202">
        <v>1</v>
      </c>
      <c r="K575" s="202">
        <v>1</v>
      </c>
      <c r="L575" s="202">
        <v>11</v>
      </c>
      <c r="M575" s="185">
        <f t="shared" si="134"/>
        <v>1</v>
      </c>
      <c r="N575" s="193" t="s">
        <v>53</v>
      </c>
      <c r="O575" s="194" t="s">
        <v>54</v>
      </c>
      <c r="P575" s="211">
        <f t="shared" si="135"/>
        <v>1</v>
      </c>
      <c r="Q575" s="196">
        <f t="shared" si="128"/>
        <v>12598259</v>
      </c>
      <c r="R575" s="196">
        <f t="shared" si="129"/>
        <v>11452963</v>
      </c>
      <c r="S575" s="201" t="s">
        <v>217</v>
      </c>
      <c r="T575" s="211">
        <f t="shared" si="136"/>
        <v>0</v>
      </c>
      <c r="U575" s="198" t="str">
        <f t="shared" si="137"/>
        <v>SUBDIRECCION DE GESTION CONTRACTUAL</v>
      </c>
      <c r="V575" s="211" t="str">
        <f t="shared" si="138"/>
        <v>CO-DC</v>
      </c>
      <c r="W575" s="211" t="str">
        <f t="shared" si="139"/>
        <v>Distrito Capital de Bogotá</v>
      </c>
      <c r="X575" s="209" t="s">
        <v>444</v>
      </c>
      <c r="Y575" s="202">
        <v>2427400</v>
      </c>
      <c r="Z575" s="212" t="s">
        <v>445</v>
      </c>
      <c r="AA575" s="134"/>
      <c r="AB575" s="134"/>
      <c r="AC575" s="134"/>
      <c r="AD575" s="134"/>
      <c r="AE575" s="134"/>
      <c r="AF575" s="134"/>
      <c r="AG575" s="134"/>
      <c r="AH575" s="134"/>
      <c r="AI575" s="134"/>
      <c r="AJ575" s="134"/>
      <c r="AK575" s="134"/>
      <c r="AL575" s="134"/>
      <c r="AM575" s="134"/>
      <c r="AN575" s="134"/>
      <c r="AO575" s="134"/>
      <c r="AP575" s="134"/>
      <c r="AQ575" s="134"/>
      <c r="AR575" s="134"/>
      <c r="AS575" s="134"/>
      <c r="AT575" s="134"/>
      <c r="AU575" s="132"/>
      <c r="AV575" s="132"/>
      <c r="AW575" s="132"/>
      <c r="AX575" s="132"/>
      <c r="AY575" s="132"/>
      <c r="AZ575" s="132"/>
      <c r="BA575" s="132"/>
      <c r="BB575" s="132"/>
      <c r="BC575" s="132"/>
      <c r="BD575" s="132"/>
      <c r="BE575" s="132"/>
      <c r="BF575" s="132"/>
      <c r="BG575" s="132"/>
      <c r="BH575" s="132"/>
      <c r="BI575" s="132"/>
      <c r="BJ575" s="132"/>
      <c r="BK575" s="132"/>
      <c r="BL575" s="132"/>
      <c r="BM575" s="132"/>
      <c r="BN575" s="132"/>
      <c r="BO575" s="132"/>
      <c r="BP575" s="132"/>
      <c r="BQ575" s="132"/>
      <c r="BR575" s="132"/>
      <c r="BS575" s="132"/>
      <c r="BT575" s="132"/>
      <c r="BU575" s="132"/>
      <c r="BV575" s="132"/>
      <c r="BW575" s="132"/>
      <c r="BX575" s="132"/>
      <c r="BY575" s="132"/>
      <c r="BZ575" s="132"/>
      <c r="CA575" s="132"/>
      <c r="CB575" s="132"/>
      <c r="CC575" s="132"/>
      <c r="CD575" s="132"/>
      <c r="CE575" s="132"/>
      <c r="CF575" s="132"/>
      <c r="CG575" s="140"/>
    </row>
    <row r="576" spans="1:85" s="139" customFormat="1" ht="13.9" customHeight="1" x14ac:dyDescent="0.2">
      <c r="A576" s="208" t="s">
        <v>121</v>
      </c>
      <c r="B576" s="202">
        <v>42</v>
      </c>
      <c r="C576" s="203" t="s">
        <v>123</v>
      </c>
      <c r="D576" s="209" t="s">
        <v>63</v>
      </c>
      <c r="E576" s="210">
        <v>3000000</v>
      </c>
      <c r="F576" s="210">
        <v>30000000</v>
      </c>
      <c r="G576" s="210"/>
      <c r="H576" s="209" t="s">
        <v>232</v>
      </c>
      <c r="I576" s="203" t="s">
        <v>465</v>
      </c>
      <c r="J576" s="202">
        <v>1</v>
      </c>
      <c r="K576" s="202">
        <v>1</v>
      </c>
      <c r="L576" s="202">
        <v>11</v>
      </c>
      <c r="M576" s="185">
        <f t="shared" si="134"/>
        <v>1</v>
      </c>
      <c r="N576" s="193" t="s">
        <v>53</v>
      </c>
      <c r="O576" s="194" t="s">
        <v>54</v>
      </c>
      <c r="P576" s="211">
        <f t="shared" si="135"/>
        <v>1</v>
      </c>
      <c r="Q576" s="196">
        <f t="shared" si="128"/>
        <v>33000000</v>
      </c>
      <c r="R576" s="196">
        <f t="shared" si="129"/>
        <v>30000000</v>
      </c>
      <c r="S576" s="201" t="s">
        <v>217</v>
      </c>
      <c r="T576" s="211">
        <f t="shared" si="136"/>
        <v>0</v>
      </c>
      <c r="U576" s="198" t="str">
        <f t="shared" si="137"/>
        <v>SUBDIRECCION DE GESTION CONTRACTUAL</v>
      </c>
      <c r="V576" s="211" t="str">
        <f t="shared" si="138"/>
        <v>CO-DC</v>
      </c>
      <c r="W576" s="211" t="str">
        <f t="shared" si="139"/>
        <v>Distrito Capital de Bogotá</v>
      </c>
      <c r="X576" s="209" t="s">
        <v>444</v>
      </c>
      <c r="Y576" s="202">
        <v>2427400</v>
      </c>
      <c r="Z576" s="212" t="s">
        <v>445</v>
      </c>
      <c r="AA576" s="134"/>
      <c r="AB576" s="134"/>
      <c r="AC576" s="134"/>
      <c r="AD576" s="134"/>
      <c r="AE576" s="134"/>
      <c r="AF576" s="134"/>
      <c r="AG576" s="134"/>
      <c r="AH576" s="134"/>
      <c r="AI576" s="134"/>
      <c r="AJ576" s="134"/>
      <c r="AK576" s="134"/>
      <c r="AL576" s="134"/>
      <c r="AM576" s="134"/>
      <c r="AN576" s="134"/>
      <c r="AO576" s="134"/>
      <c r="AP576" s="134"/>
      <c r="AQ576" s="134"/>
      <c r="AR576" s="134"/>
      <c r="AS576" s="134"/>
      <c r="AT576" s="134"/>
      <c r="AU576" s="132"/>
      <c r="AV576" s="132"/>
      <c r="AW576" s="132"/>
      <c r="AX576" s="132"/>
      <c r="AY576" s="132"/>
      <c r="AZ576" s="132"/>
      <c r="BA576" s="132"/>
      <c r="BB576" s="132"/>
      <c r="BC576" s="132"/>
      <c r="BD576" s="132"/>
      <c r="BE576" s="132"/>
      <c r="BF576" s="132"/>
      <c r="BG576" s="132"/>
      <c r="BH576" s="132"/>
      <c r="BI576" s="132"/>
      <c r="BJ576" s="132"/>
      <c r="BK576" s="132"/>
      <c r="BL576" s="132"/>
      <c r="BM576" s="132"/>
      <c r="BN576" s="132"/>
      <c r="BO576" s="132"/>
      <c r="BP576" s="132"/>
      <c r="BQ576" s="132"/>
      <c r="BR576" s="132"/>
      <c r="BS576" s="132"/>
      <c r="BT576" s="132"/>
      <c r="BU576" s="132"/>
      <c r="BV576" s="132"/>
      <c r="BW576" s="132"/>
      <c r="BX576" s="132"/>
      <c r="BY576" s="132"/>
      <c r="BZ576" s="132"/>
      <c r="CA576" s="132"/>
      <c r="CB576" s="132"/>
      <c r="CC576" s="132"/>
      <c r="CD576" s="132"/>
      <c r="CE576" s="132"/>
      <c r="CF576" s="132"/>
      <c r="CG576" s="140"/>
    </row>
    <row r="577" spans="1:85" s="139" customFormat="1" ht="13.9" customHeight="1" x14ac:dyDescent="0.2">
      <c r="A577" s="208" t="s">
        <v>121</v>
      </c>
      <c r="B577" s="202">
        <v>43</v>
      </c>
      <c r="C577" s="203" t="s">
        <v>123</v>
      </c>
      <c r="D577" s="209" t="s">
        <v>63</v>
      </c>
      <c r="E577" s="210">
        <f>7672731+1200000</f>
        <v>8872731</v>
      </c>
      <c r="F577" s="210">
        <v>88727312</v>
      </c>
      <c r="G577" s="210"/>
      <c r="H577" s="209" t="s">
        <v>232</v>
      </c>
      <c r="I577" s="203" t="s">
        <v>466</v>
      </c>
      <c r="J577" s="202">
        <v>1</v>
      </c>
      <c r="K577" s="202">
        <v>1</v>
      </c>
      <c r="L577" s="202">
        <v>11</v>
      </c>
      <c r="M577" s="185">
        <f t="shared" si="134"/>
        <v>1</v>
      </c>
      <c r="N577" s="193" t="s">
        <v>53</v>
      </c>
      <c r="O577" s="194" t="s">
        <v>54</v>
      </c>
      <c r="P577" s="211">
        <f t="shared" si="135"/>
        <v>1</v>
      </c>
      <c r="Q577" s="196">
        <f t="shared" si="128"/>
        <v>97600043</v>
      </c>
      <c r="R577" s="196">
        <f t="shared" si="129"/>
        <v>88727312</v>
      </c>
      <c r="S577" s="201" t="s">
        <v>217</v>
      </c>
      <c r="T577" s="211">
        <f t="shared" si="136"/>
        <v>0</v>
      </c>
      <c r="U577" s="198" t="str">
        <f t="shared" si="137"/>
        <v>SUBDIRECCION DE GESTION CONTRACTUAL</v>
      </c>
      <c r="V577" s="211" t="str">
        <f t="shared" si="138"/>
        <v>CO-DC</v>
      </c>
      <c r="W577" s="211" t="str">
        <f t="shared" si="139"/>
        <v>Distrito Capital de Bogotá</v>
      </c>
      <c r="X577" s="209" t="s">
        <v>444</v>
      </c>
      <c r="Y577" s="202">
        <v>2427400</v>
      </c>
      <c r="Z577" s="212" t="s">
        <v>445</v>
      </c>
      <c r="AA577" s="134"/>
      <c r="AB577" s="134"/>
      <c r="AC577" s="134"/>
      <c r="AD577" s="134"/>
      <c r="AE577" s="134"/>
      <c r="AF577" s="134"/>
      <c r="AG577" s="134"/>
      <c r="AH577" s="134"/>
      <c r="AI577" s="134"/>
      <c r="AJ577" s="134"/>
      <c r="AK577" s="134"/>
      <c r="AL577" s="134"/>
      <c r="AM577" s="134"/>
      <c r="AN577" s="134"/>
      <c r="AO577" s="134"/>
      <c r="AP577" s="134"/>
      <c r="AQ577" s="134"/>
      <c r="AR577" s="134"/>
      <c r="AS577" s="134"/>
      <c r="AT577" s="134"/>
      <c r="AU577" s="132"/>
      <c r="AV577" s="132"/>
      <c r="AW577" s="132"/>
      <c r="AX577" s="132"/>
      <c r="AY577" s="132"/>
      <c r="AZ577" s="132"/>
      <c r="BA577" s="132"/>
      <c r="BB577" s="132"/>
      <c r="BC577" s="132"/>
      <c r="BD577" s="132"/>
      <c r="BE577" s="132"/>
      <c r="BF577" s="132"/>
      <c r="BG577" s="132"/>
      <c r="BH577" s="132"/>
      <c r="BI577" s="132"/>
      <c r="BJ577" s="132"/>
      <c r="BK577" s="132"/>
      <c r="BL577" s="132"/>
      <c r="BM577" s="132"/>
      <c r="BN577" s="132"/>
      <c r="BO577" s="132"/>
      <c r="BP577" s="132"/>
      <c r="BQ577" s="132"/>
      <c r="BR577" s="132"/>
      <c r="BS577" s="132"/>
      <c r="BT577" s="132"/>
      <c r="BU577" s="132"/>
      <c r="BV577" s="132"/>
      <c r="BW577" s="132"/>
      <c r="BX577" s="132"/>
      <c r="BY577" s="132"/>
      <c r="BZ577" s="132"/>
      <c r="CA577" s="132"/>
      <c r="CB577" s="132"/>
      <c r="CC577" s="132"/>
      <c r="CD577" s="132"/>
      <c r="CE577" s="132"/>
      <c r="CF577" s="132"/>
      <c r="CG577" s="140"/>
    </row>
    <row r="578" spans="1:85" s="139" customFormat="1" ht="13.9" customHeight="1" x14ac:dyDescent="0.2">
      <c r="A578" s="208" t="s">
        <v>121</v>
      </c>
      <c r="B578" s="202">
        <v>44</v>
      </c>
      <c r="C578" s="203" t="s">
        <v>123</v>
      </c>
      <c r="D578" s="209" t="s">
        <v>63</v>
      </c>
      <c r="E578" s="210">
        <f>1100000*3+1400000</f>
        <v>4700000</v>
      </c>
      <c r="F578" s="210">
        <v>47000000</v>
      </c>
      <c r="G578" s="210"/>
      <c r="H578" s="209" t="s">
        <v>232</v>
      </c>
      <c r="I578" s="203" t="s">
        <v>467</v>
      </c>
      <c r="J578" s="202">
        <v>1</v>
      </c>
      <c r="K578" s="202">
        <v>1</v>
      </c>
      <c r="L578" s="202">
        <v>11</v>
      </c>
      <c r="M578" s="185">
        <f t="shared" si="134"/>
        <v>1</v>
      </c>
      <c r="N578" s="193" t="s">
        <v>53</v>
      </c>
      <c r="O578" s="194" t="s">
        <v>54</v>
      </c>
      <c r="P578" s="211">
        <f t="shared" si="135"/>
        <v>1</v>
      </c>
      <c r="Q578" s="196">
        <f t="shared" si="128"/>
        <v>51700000</v>
      </c>
      <c r="R578" s="196">
        <f t="shared" si="129"/>
        <v>47000000</v>
      </c>
      <c r="S578" s="201" t="s">
        <v>217</v>
      </c>
      <c r="T578" s="211">
        <f t="shared" si="136"/>
        <v>0</v>
      </c>
      <c r="U578" s="198" t="str">
        <f t="shared" si="137"/>
        <v>SUBDIRECCION DE GESTION CONTRACTUAL</v>
      </c>
      <c r="V578" s="211" t="str">
        <f t="shared" si="138"/>
        <v>CO-DC</v>
      </c>
      <c r="W578" s="211" t="str">
        <f t="shared" si="139"/>
        <v>Distrito Capital de Bogotá</v>
      </c>
      <c r="X578" s="209" t="s">
        <v>444</v>
      </c>
      <c r="Y578" s="202">
        <v>2427400</v>
      </c>
      <c r="Z578" s="212" t="s">
        <v>445</v>
      </c>
      <c r="AA578" s="134"/>
      <c r="AB578" s="134"/>
      <c r="AC578" s="134"/>
      <c r="AD578" s="134"/>
      <c r="AE578" s="134"/>
      <c r="AF578" s="134"/>
      <c r="AG578" s="134"/>
      <c r="AH578" s="134"/>
      <c r="AI578" s="134"/>
      <c r="AJ578" s="134"/>
      <c r="AK578" s="134"/>
      <c r="AL578" s="134"/>
      <c r="AM578" s="134"/>
      <c r="AN578" s="134"/>
      <c r="AO578" s="134"/>
      <c r="AP578" s="134"/>
      <c r="AQ578" s="134"/>
      <c r="AR578" s="134"/>
      <c r="AS578" s="134"/>
      <c r="AT578" s="134"/>
      <c r="AU578" s="132"/>
      <c r="AV578" s="132"/>
      <c r="AW578" s="132"/>
      <c r="AX578" s="132"/>
      <c r="AY578" s="132"/>
      <c r="AZ578" s="132"/>
      <c r="BA578" s="132"/>
      <c r="BB578" s="132"/>
      <c r="BC578" s="132"/>
      <c r="BD578" s="132"/>
      <c r="BE578" s="132"/>
      <c r="BF578" s="132"/>
      <c r="BG578" s="132"/>
      <c r="BH578" s="132"/>
      <c r="BI578" s="132"/>
      <c r="BJ578" s="132"/>
      <c r="BK578" s="132"/>
      <c r="BL578" s="132"/>
      <c r="BM578" s="132"/>
      <c r="BN578" s="132"/>
      <c r="BO578" s="132"/>
      <c r="BP578" s="132"/>
      <c r="BQ578" s="132"/>
      <c r="BR578" s="132"/>
      <c r="BS578" s="132"/>
      <c r="BT578" s="132"/>
      <c r="BU578" s="132"/>
      <c r="BV578" s="132"/>
      <c r="BW578" s="132"/>
      <c r="BX578" s="132"/>
      <c r="BY578" s="132"/>
      <c r="BZ578" s="132"/>
      <c r="CA578" s="132"/>
      <c r="CB578" s="132"/>
      <c r="CC578" s="132"/>
      <c r="CD578" s="132"/>
      <c r="CE578" s="132"/>
      <c r="CF578" s="132"/>
      <c r="CG578" s="140"/>
    </row>
    <row r="579" spans="1:85" s="139" customFormat="1" ht="13.9" customHeight="1" x14ac:dyDescent="0.2">
      <c r="A579" s="208" t="s">
        <v>121</v>
      </c>
      <c r="B579" s="202">
        <v>45</v>
      </c>
      <c r="C579" s="203" t="s">
        <v>123</v>
      </c>
      <c r="D579" s="209" t="s">
        <v>63</v>
      </c>
      <c r="E579" s="210">
        <f>1100000*2</f>
        <v>2200000</v>
      </c>
      <c r="F579" s="210">
        <v>22000000</v>
      </c>
      <c r="G579" s="210"/>
      <c r="H579" s="209" t="s">
        <v>232</v>
      </c>
      <c r="I579" s="203" t="s">
        <v>774</v>
      </c>
      <c r="J579" s="202">
        <v>1</v>
      </c>
      <c r="K579" s="202">
        <v>1</v>
      </c>
      <c r="L579" s="202">
        <v>11</v>
      </c>
      <c r="M579" s="185">
        <f t="shared" si="134"/>
        <v>1</v>
      </c>
      <c r="N579" s="193" t="s">
        <v>53</v>
      </c>
      <c r="O579" s="194" t="s">
        <v>54</v>
      </c>
      <c r="P579" s="211">
        <f t="shared" si="135"/>
        <v>1</v>
      </c>
      <c r="Q579" s="196">
        <f t="shared" si="128"/>
        <v>24200000</v>
      </c>
      <c r="R579" s="196">
        <f t="shared" si="129"/>
        <v>22000000</v>
      </c>
      <c r="S579" s="201" t="s">
        <v>217</v>
      </c>
      <c r="T579" s="211">
        <f t="shared" si="136"/>
        <v>0</v>
      </c>
      <c r="U579" s="198" t="str">
        <f t="shared" si="137"/>
        <v>SUBDIRECCION DE GESTION CONTRACTUAL</v>
      </c>
      <c r="V579" s="211" t="str">
        <f t="shared" si="138"/>
        <v>CO-DC</v>
      </c>
      <c r="W579" s="211" t="str">
        <f t="shared" si="139"/>
        <v>Distrito Capital de Bogotá</v>
      </c>
      <c r="X579" s="209" t="s">
        <v>444</v>
      </c>
      <c r="Y579" s="202">
        <v>2427400</v>
      </c>
      <c r="Z579" s="212" t="s">
        <v>445</v>
      </c>
      <c r="AA579" s="134"/>
      <c r="AB579" s="134"/>
      <c r="AC579" s="134"/>
      <c r="AD579" s="134"/>
      <c r="AE579" s="134"/>
      <c r="AF579" s="134"/>
      <c r="AG579" s="134"/>
      <c r="AH579" s="134"/>
      <c r="AI579" s="134"/>
      <c r="AJ579" s="134"/>
      <c r="AK579" s="134"/>
      <c r="AL579" s="134"/>
      <c r="AM579" s="134"/>
      <c r="AN579" s="134"/>
      <c r="AO579" s="134"/>
      <c r="AP579" s="134"/>
      <c r="AQ579" s="134"/>
      <c r="AR579" s="134"/>
      <c r="AS579" s="134"/>
      <c r="AT579" s="134"/>
      <c r="AU579" s="132"/>
      <c r="AV579" s="132"/>
      <c r="AW579" s="132"/>
      <c r="AX579" s="132"/>
      <c r="AY579" s="132"/>
      <c r="AZ579" s="132"/>
      <c r="BA579" s="132"/>
      <c r="BB579" s="132"/>
      <c r="BC579" s="132"/>
      <c r="BD579" s="132"/>
      <c r="BE579" s="132"/>
      <c r="BF579" s="132"/>
      <c r="BG579" s="132"/>
      <c r="BH579" s="132"/>
      <c r="BI579" s="132"/>
      <c r="BJ579" s="132"/>
      <c r="BK579" s="132"/>
      <c r="BL579" s="132"/>
      <c r="BM579" s="132"/>
      <c r="BN579" s="132"/>
      <c r="BO579" s="132"/>
      <c r="BP579" s="132"/>
      <c r="BQ579" s="132"/>
      <c r="BR579" s="132"/>
      <c r="BS579" s="132"/>
      <c r="BT579" s="132"/>
      <c r="BU579" s="132"/>
      <c r="BV579" s="132"/>
      <c r="BW579" s="132"/>
      <c r="BX579" s="132"/>
      <c r="BY579" s="132"/>
      <c r="BZ579" s="132"/>
      <c r="CA579" s="132"/>
      <c r="CB579" s="132"/>
      <c r="CC579" s="132"/>
      <c r="CD579" s="132"/>
      <c r="CE579" s="132"/>
      <c r="CF579" s="132"/>
      <c r="CG579" s="140"/>
    </row>
    <row r="580" spans="1:85" s="139" customFormat="1" ht="13.9" customHeight="1" x14ac:dyDescent="0.2">
      <c r="A580" s="208" t="s">
        <v>121</v>
      </c>
      <c r="B580" s="202">
        <v>46</v>
      </c>
      <c r="C580" s="203" t="s">
        <v>123</v>
      </c>
      <c r="D580" s="209" t="s">
        <v>63</v>
      </c>
      <c r="E580" s="210">
        <v>0</v>
      </c>
      <c r="F580" s="210">
        <v>0</v>
      </c>
      <c r="G580" s="210"/>
      <c r="H580" s="209" t="s">
        <v>232</v>
      </c>
      <c r="I580" s="203" t="s">
        <v>1039</v>
      </c>
      <c r="J580" s="202">
        <v>1</v>
      </c>
      <c r="K580" s="202">
        <v>1</v>
      </c>
      <c r="L580" s="202">
        <v>11</v>
      </c>
      <c r="M580" s="185">
        <f t="shared" ref="M580:M611" si="140">IF(ISBLANK(J580),"",1)</f>
        <v>1</v>
      </c>
      <c r="N580" s="193" t="s">
        <v>53</v>
      </c>
      <c r="O580" s="194" t="s">
        <v>54</v>
      </c>
      <c r="P580" s="211">
        <f t="shared" si="135"/>
        <v>1</v>
      </c>
      <c r="Q580" s="196">
        <f t="shared" si="128"/>
        <v>0</v>
      </c>
      <c r="R580" s="196">
        <f t="shared" si="129"/>
        <v>0</v>
      </c>
      <c r="S580" s="201" t="s">
        <v>217</v>
      </c>
      <c r="T580" s="211">
        <f t="shared" si="136"/>
        <v>0</v>
      </c>
      <c r="U580" s="198" t="str">
        <f t="shared" ref="U580:U611" si="141">IF(ISBLANK(N580),"","SUBDIRECCION DE GESTION CONTRACTUAL")</f>
        <v>SUBDIRECCION DE GESTION CONTRACTUAL</v>
      </c>
      <c r="V580" s="211" t="str">
        <f t="shared" ref="V580:V605" si="142">IF(ISBLANK(N580),"","CO-DC")</f>
        <v>CO-DC</v>
      </c>
      <c r="W580" s="211" t="str">
        <f t="shared" ref="W580:W605" si="143">IF(ISBLANK(N580),"","Distrito Capital de Bogotá")</f>
        <v>Distrito Capital de Bogotá</v>
      </c>
      <c r="X580" s="209" t="s">
        <v>444</v>
      </c>
      <c r="Y580" s="202">
        <v>2427400</v>
      </c>
      <c r="Z580" s="212" t="s">
        <v>445</v>
      </c>
      <c r="AA580" s="134"/>
      <c r="AB580" s="134"/>
      <c r="AC580" s="134"/>
      <c r="AD580" s="134"/>
      <c r="AE580" s="134"/>
      <c r="AF580" s="134"/>
      <c r="AG580" s="134"/>
      <c r="AH580" s="134"/>
      <c r="AI580" s="134"/>
      <c r="AJ580" s="134"/>
      <c r="AK580" s="134"/>
      <c r="AL580" s="134"/>
      <c r="AM580" s="134"/>
      <c r="AN580" s="134"/>
      <c r="AO580" s="134"/>
      <c r="AP580" s="134"/>
      <c r="AQ580" s="134"/>
      <c r="AR580" s="134"/>
      <c r="AS580" s="134"/>
      <c r="AT580" s="134"/>
      <c r="AU580" s="132"/>
      <c r="AV580" s="132"/>
      <c r="AW580" s="132"/>
      <c r="AX580" s="132"/>
      <c r="AY580" s="132"/>
      <c r="AZ580" s="132"/>
      <c r="BA580" s="132"/>
      <c r="BB580" s="132"/>
      <c r="BC580" s="132"/>
      <c r="BD580" s="132"/>
      <c r="BE580" s="132"/>
      <c r="BF580" s="132"/>
      <c r="BG580" s="132"/>
      <c r="BH580" s="132"/>
      <c r="BI580" s="132"/>
      <c r="BJ580" s="132"/>
      <c r="BK580" s="132"/>
      <c r="BL580" s="132"/>
      <c r="BM580" s="132"/>
      <c r="BN580" s="132"/>
      <c r="BO580" s="132"/>
      <c r="BP580" s="132"/>
      <c r="BQ580" s="132"/>
      <c r="BR580" s="132"/>
      <c r="BS580" s="132"/>
      <c r="BT580" s="132"/>
      <c r="BU580" s="132"/>
      <c r="BV580" s="132"/>
      <c r="BW580" s="132"/>
      <c r="BX580" s="132"/>
      <c r="BY580" s="132"/>
      <c r="BZ580" s="132"/>
      <c r="CA580" s="132"/>
      <c r="CB580" s="132"/>
      <c r="CC580" s="132"/>
      <c r="CD580" s="132"/>
      <c r="CE580" s="132"/>
      <c r="CF580" s="132"/>
      <c r="CG580" s="140"/>
    </row>
    <row r="581" spans="1:85" s="139" customFormat="1" ht="13.9" customHeight="1" x14ac:dyDescent="0.2">
      <c r="A581" s="208" t="s">
        <v>121</v>
      </c>
      <c r="B581" s="202">
        <v>47</v>
      </c>
      <c r="C581" s="203" t="s">
        <v>123</v>
      </c>
      <c r="D581" s="209" t="s">
        <v>63</v>
      </c>
      <c r="E581" s="210"/>
      <c r="F581" s="210">
        <v>18533351</v>
      </c>
      <c r="G581" s="210"/>
      <c r="H581" s="209" t="s">
        <v>232</v>
      </c>
      <c r="I581" s="203" t="s">
        <v>468</v>
      </c>
      <c r="J581" s="202">
        <v>11</v>
      </c>
      <c r="K581" s="202">
        <v>11</v>
      </c>
      <c r="L581" s="202">
        <v>12</v>
      </c>
      <c r="M581" s="185">
        <f t="shared" si="140"/>
        <v>1</v>
      </c>
      <c r="N581" s="201" t="s">
        <v>53</v>
      </c>
      <c r="O581" s="272" t="s">
        <v>54</v>
      </c>
      <c r="P581" s="211">
        <f t="shared" si="135"/>
        <v>1</v>
      </c>
      <c r="Q581" s="196">
        <f t="shared" si="128"/>
        <v>18533351</v>
      </c>
      <c r="R581" s="196">
        <f t="shared" si="129"/>
        <v>18533351</v>
      </c>
      <c r="S581" s="201" t="s">
        <v>217</v>
      </c>
      <c r="T581" s="211">
        <f t="shared" si="136"/>
        <v>0</v>
      </c>
      <c r="U581" s="198" t="str">
        <f t="shared" si="141"/>
        <v>SUBDIRECCION DE GESTION CONTRACTUAL</v>
      </c>
      <c r="V581" s="185" t="str">
        <f t="shared" si="142"/>
        <v>CO-DC</v>
      </c>
      <c r="W581" s="211" t="str">
        <f t="shared" si="143"/>
        <v>Distrito Capital de Bogotá</v>
      </c>
      <c r="X581" s="209" t="s">
        <v>444</v>
      </c>
      <c r="Y581" s="202">
        <v>2427400</v>
      </c>
      <c r="Z581" s="212" t="s">
        <v>445</v>
      </c>
      <c r="AA581" s="134"/>
      <c r="AB581" s="134"/>
      <c r="AC581" s="134"/>
      <c r="AD581" s="134"/>
      <c r="AE581" s="134"/>
      <c r="AF581" s="134"/>
      <c r="AG581" s="134"/>
      <c r="AH581" s="134"/>
      <c r="AI581" s="134"/>
      <c r="AJ581" s="134"/>
      <c r="AK581" s="134"/>
      <c r="AL581" s="134"/>
      <c r="AM581" s="134"/>
      <c r="AN581" s="134"/>
      <c r="AO581" s="134"/>
      <c r="AP581" s="134"/>
      <c r="AQ581" s="134"/>
      <c r="AR581" s="134"/>
      <c r="AS581" s="134"/>
      <c r="AT581" s="134"/>
      <c r="AU581" s="132"/>
      <c r="AV581" s="132"/>
      <c r="AW581" s="132"/>
      <c r="AX581" s="132"/>
      <c r="AY581" s="132"/>
      <c r="AZ581" s="132"/>
      <c r="BA581" s="132"/>
      <c r="BB581" s="132"/>
      <c r="BC581" s="132"/>
      <c r="BD581" s="132"/>
      <c r="BE581" s="132"/>
      <c r="BF581" s="132"/>
      <c r="BG581" s="132"/>
      <c r="BH581" s="132"/>
      <c r="BI581" s="132"/>
      <c r="BJ581" s="132"/>
      <c r="BK581" s="132"/>
      <c r="BL581" s="132"/>
      <c r="BM581" s="132"/>
      <c r="BN581" s="132"/>
      <c r="BO581" s="132"/>
      <c r="BP581" s="132"/>
      <c r="BQ581" s="132"/>
      <c r="BR581" s="132"/>
      <c r="BS581" s="132"/>
      <c r="BT581" s="132"/>
      <c r="BU581" s="132"/>
      <c r="BV581" s="132"/>
      <c r="BW581" s="132"/>
      <c r="BX581" s="132"/>
      <c r="BY581" s="132"/>
      <c r="BZ581" s="132"/>
      <c r="CA581" s="132"/>
      <c r="CB581" s="132"/>
      <c r="CC581" s="132"/>
      <c r="CD581" s="132"/>
      <c r="CE581" s="132"/>
      <c r="CF581" s="132"/>
      <c r="CG581" s="140"/>
    </row>
    <row r="582" spans="1:85" s="139" customFormat="1" ht="13.9" customHeight="1" x14ac:dyDescent="0.2">
      <c r="A582" s="208" t="s">
        <v>121</v>
      </c>
      <c r="B582" s="202">
        <v>48</v>
      </c>
      <c r="C582" s="203" t="s">
        <v>123</v>
      </c>
      <c r="D582" s="209" t="s">
        <v>138</v>
      </c>
      <c r="E582" s="210"/>
      <c r="F582" s="210">
        <f>26000000</f>
        <v>26000000</v>
      </c>
      <c r="G582" s="210"/>
      <c r="H582" s="209">
        <v>82121700</v>
      </c>
      <c r="I582" s="203" t="s">
        <v>469</v>
      </c>
      <c r="J582" s="202">
        <v>2</v>
      </c>
      <c r="K582" s="202">
        <v>3</v>
      </c>
      <c r="L582" s="202">
        <v>11</v>
      </c>
      <c r="M582" s="185">
        <f t="shared" si="140"/>
        <v>1</v>
      </c>
      <c r="N582" s="193" t="s">
        <v>48</v>
      </c>
      <c r="O582" s="194" t="s">
        <v>49</v>
      </c>
      <c r="P582" s="211">
        <f t="shared" si="135"/>
        <v>1</v>
      </c>
      <c r="Q582" s="196">
        <f t="shared" si="128"/>
        <v>26000000</v>
      </c>
      <c r="R582" s="196">
        <f t="shared" si="129"/>
        <v>26000000</v>
      </c>
      <c r="S582" s="201" t="s">
        <v>217</v>
      </c>
      <c r="T582" s="211">
        <f t="shared" si="136"/>
        <v>0</v>
      </c>
      <c r="U582" s="198" t="str">
        <f t="shared" si="141"/>
        <v>SUBDIRECCION DE GESTION CONTRACTUAL</v>
      </c>
      <c r="V582" s="211" t="str">
        <f t="shared" si="142"/>
        <v>CO-DC</v>
      </c>
      <c r="W582" s="211" t="str">
        <f t="shared" si="143"/>
        <v>Distrito Capital de Bogotá</v>
      </c>
      <c r="X582" s="209" t="s">
        <v>436</v>
      </c>
      <c r="Y582" s="202">
        <v>2427400</v>
      </c>
      <c r="Z582" s="212" t="s">
        <v>125</v>
      </c>
      <c r="AA582" s="134"/>
      <c r="AB582" s="134"/>
      <c r="AC582" s="134"/>
      <c r="AD582" s="134"/>
      <c r="AE582" s="134"/>
      <c r="AF582" s="134"/>
      <c r="AG582" s="134"/>
      <c r="AH582" s="134"/>
      <c r="AI582" s="134"/>
      <c r="AJ582" s="134"/>
      <c r="AK582" s="134"/>
      <c r="AL582" s="134"/>
      <c r="AM582" s="134"/>
      <c r="AN582" s="134"/>
      <c r="AO582" s="134"/>
      <c r="AP582" s="134"/>
      <c r="AQ582" s="134"/>
      <c r="AR582" s="134"/>
      <c r="AS582" s="134"/>
      <c r="AT582" s="134"/>
      <c r="AU582" s="132"/>
      <c r="AV582" s="132"/>
      <c r="AW582" s="132"/>
      <c r="AX582" s="132"/>
      <c r="AY582" s="132"/>
      <c r="AZ582" s="132"/>
      <c r="BA582" s="132"/>
      <c r="BB582" s="132"/>
      <c r="BC582" s="132"/>
      <c r="BD582" s="132"/>
      <c r="BE582" s="132"/>
      <c r="BF582" s="132"/>
      <c r="BG582" s="132"/>
      <c r="BH582" s="132"/>
      <c r="BI582" s="132"/>
      <c r="BJ582" s="132"/>
      <c r="BK582" s="132"/>
      <c r="BL582" s="132"/>
      <c r="BM582" s="132"/>
      <c r="BN582" s="132"/>
      <c r="BO582" s="132"/>
      <c r="BP582" s="132"/>
      <c r="BQ582" s="132"/>
      <c r="BR582" s="132"/>
      <c r="BS582" s="132"/>
      <c r="BT582" s="132"/>
      <c r="BU582" s="132"/>
      <c r="BV582" s="132"/>
      <c r="BW582" s="132"/>
      <c r="BX582" s="132"/>
      <c r="BY582" s="132"/>
      <c r="BZ582" s="132"/>
      <c r="CA582" s="132"/>
      <c r="CB582" s="132"/>
      <c r="CC582" s="132"/>
      <c r="CD582" s="132"/>
      <c r="CE582" s="132"/>
      <c r="CF582" s="132"/>
      <c r="CG582" s="140"/>
    </row>
    <row r="583" spans="1:85" s="139" customFormat="1" ht="13.9" customHeight="1" x14ac:dyDescent="0.2">
      <c r="A583" s="208" t="s">
        <v>121</v>
      </c>
      <c r="B583" s="202">
        <v>49</v>
      </c>
      <c r="C583" s="203" t="s">
        <v>123</v>
      </c>
      <c r="D583" s="209" t="s">
        <v>934</v>
      </c>
      <c r="E583" s="210"/>
      <c r="F583" s="210">
        <f>11013429-11013429</f>
        <v>0</v>
      </c>
      <c r="G583" s="210"/>
      <c r="H583" s="209" t="s">
        <v>251</v>
      </c>
      <c r="I583" s="203" t="s">
        <v>935</v>
      </c>
      <c r="J583" s="202">
        <v>3</v>
      </c>
      <c r="K583" s="202">
        <v>4</v>
      </c>
      <c r="L583" s="202">
        <v>8</v>
      </c>
      <c r="M583" s="185">
        <f t="shared" si="140"/>
        <v>1</v>
      </c>
      <c r="N583" s="193" t="s">
        <v>43</v>
      </c>
      <c r="O583" s="194" t="s">
        <v>44</v>
      </c>
      <c r="P583" s="211">
        <f t="shared" si="135"/>
        <v>1</v>
      </c>
      <c r="Q583" s="196">
        <f t="shared" si="128"/>
        <v>0</v>
      </c>
      <c r="R583" s="196">
        <f t="shared" si="129"/>
        <v>0</v>
      </c>
      <c r="S583" s="201" t="s">
        <v>217</v>
      </c>
      <c r="T583" s="211">
        <f t="shared" si="136"/>
        <v>0</v>
      </c>
      <c r="U583" s="198" t="str">
        <f t="shared" si="141"/>
        <v>SUBDIRECCION DE GESTION CONTRACTUAL</v>
      </c>
      <c r="V583" s="211" t="str">
        <f t="shared" si="142"/>
        <v>CO-DC</v>
      </c>
      <c r="W583" s="211" t="str">
        <f t="shared" si="143"/>
        <v>Distrito Capital de Bogotá</v>
      </c>
      <c r="X583" s="209" t="s">
        <v>73</v>
      </c>
      <c r="Y583" s="202">
        <v>2427400</v>
      </c>
      <c r="Z583" s="212" t="s">
        <v>74</v>
      </c>
      <c r="AA583" s="134"/>
      <c r="AB583" s="134"/>
      <c r="AC583" s="134"/>
      <c r="AD583" s="134"/>
      <c r="AE583" s="134"/>
      <c r="AF583" s="134"/>
      <c r="AG583" s="134"/>
      <c r="AH583" s="134"/>
      <c r="AI583" s="134"/>
      <c r="AJ583" s="134"/>
      <c r="AK583" s="134"/>
      <c r="AL583" s="134"/>
      <c r="AM583" s="134"/>
      <c r="AN583" s="134"/>
      <c r="AO583" s="134"/>
      <c r="AP583" s="134"/>
      <c r="AQ583" s="134"/>
      <c r="AR583" s="134"/>
      <c r="AS583" s="134"/>
      <c r="AT583" s="134"/>
      <c r="AU583" s="132"/>
      <c r="AV583" s="132"/>
      <c r="AW583" s="132"/>
      <c r="AX583" s="132"/>
      <c r="AY583" s="132"/>
      <c r="AZ583" s="132"/>
      <c r="BA583" s="132"/>
      <c r="BB583" s="132"/>
      <c r="BC583" s="132"/>
      <c r="BD583" s="132"/>
      <c r="BE583" s="132"/>
      <c r="BF583" s="132"/>
      <c r="BG583" s="132"/>
      <c r="BH583" s="132"/>
      <c r="BI583" s="132"/>
      <c r="BJ583" s="132"/>
      <c r="BK583" s="132"/>
      <c r="BL583" s="132"/>
      <c r="BM583" s="132"/>
      <c r="BN583" s="132"/>
      <c r="BO583" s="132"/>
      <c r="BP583" s="132"/>
      <c r="BQ583" s="132"/>
      <c r="BR583" s="132"/>
      <c r="BS583" s="132"/>
      <c r="BT583" s="132"/>
      <c r="BU583" s="132"/>
      <c r="BV583" s="132"/>
      <c r="BW583" s="132"/>
      <c r="BX583" s="132"/>
      <c r="BY583" s="132"/>
      <c r="BZ583" s="132"/>
      <c r="CA583" s="132"/>
      <c r="CB583" s="132"/>
      <c r="CC583" s="132"/>
      <c r="CD583" s="132"/>
      <c r="CE583" s="132"/>
      <c r="CF583" s="132"/>
      <c r="CG583" s="140"/>
    </row>
    <row r="584" spans="1:85" s="139" customFormat="1" ht="13.9" customHeight="1" x14ac:dyDescent="0.2">
      <c r="A584" s="208" t="s">
        <v>121</v>
      </c>
      <c r="B584" s="202">
        <v>50</v>
      </c>
      <c r="C584" s="203" t="s">
        <v>123</v>
      </c>
      <c r="D584" s="209" t="s">
        <v>140</v>
      </c>
      <c r="E584" s="210">
        <v>23218050</v>
      </c>
      <c r="F584" s="210">
        <v>513351091</v>
      </c>
      <c r="G584" s="210"/>
      <c r="H584" s="209" t="s">
        <v>704</v>
      </c>
      <c r="I584" s="203" t="s">
        <v>470</v>
      </c>
      <c r="J584" s="202">
        <v>1</v>
      </c>
      <c r="K584" s="202">
        <v>1</v>
      </c>
      <c r="L584" s="202">
        <v>8</v>
      </c>
      <c r="M584" s="185">
        <f t="shared" si="140"/>
        <v>1</v>
      </c>
      <c r="N584" s="193" t="s">
        <v>36</v>
      </c>
      <c r="O584" s="194" t="s">
        <v>256</v>
      </c>
      <c r="P584" s="211">
        <f t="shared" si="135"/>
        <v>1</v>
      </c>
      <c r="Q584" s="196">
        <f t="shared" si="128"/>
        <v>536569141</v>
      </c>
      <c r="R584" s="196">
        <f t="shared" si="129"/>
        <v>513351091</v>
      </c>
      <c r="S584" s="201" t="s">
        <v>217</v>
      </c>
      <c r="T584" s="211">
        <f t="shared" si="136"/>
        <v>0</v>
      </c>
      <c r="U584" s="198" t="str">
        <f t="shared" si="141"/>
        <v>SUBDIRECCION DE GESTION CONTRACTUAL</v>
      </c>
      <c r="V584" s="211" t="str">
        <f t="shared" si="142"/>
        <v>CO-DC</v>
      </c>
      <c r="W584" s="211" t="str">
        <f t="shared" si="143"/>
        <v>Distrito Capital de Bogotá</v>
      </c>
      <c r="X584" s="209" t="s">
        <v>436</v>
      </c>
      <c r="Y584" s="202">
        <v>2427400</v>
      </c>
      <c r="Z584" s="212" t="s">
        <v>125</v>
      </c>
      <c r="AA584" s="134"/>
      <c r="AB584" s="134"/>
      <c r="AC584" s="134"/>
      <c r="AD584" s="134"/>
      <c r="AE584" s="134"/>
      <c r="AF584" s="134"/>
      <c r="AG584" s="134"/>
      <c r="AH584" s="134"/>
      <c r="AI584" s="134"/>
      <c r="AJ584" s="134"/>
      <c r="AK584" s="134"/>
      <c r="AL584" s="134"/>
      <c r="AM584" s="134"/>
      <c r="AN584" s="134"/>
      <c r="AO584" s="134"/>
      <c r="AP584" s="134"/>
      <c r="AQ584" s="134"/>
      <c r="AR584" s="134"/>
      <c r="AS584" s="134"/>
      <c r="AT584" s="134"/>
      <c r="AU584" s="132"/>
      <c r="AV584" s="132"/>
      <c r="AW584" s="132"/>
      <c r="AX584" s="132"/>
      <c r="AY584" s="132"/>
      <c r="AZ584" s="132"/>
      <c r="BA584" s="132"/>
      <c r="BB584" s="132"/>
      <c r="BC584" s="132"/>
      <c r="BD584" s="132"/>
      <c r="BE584" s="132"/>
      <c r="BF584" s="132"/>
      <c r="BG584" s="132"/>
      <c r="BH584" s="132"/>
      <c r="BI584" s="132"/>
      <c r="BJ584" s="132"/>
      <c r="BK584" s="132"/>
      <c r="BL584" s="132"/>
      <c r="BM584" s="132"/>
      <c r="BN584" s="132"/>
      <c r="BO584" s="132"/>
      <c r="BP584" s="132"/>
      <c r="BQ584" s="132"/>
      <c r="BR584" s="132"/>
      <c r="BS584" s="132"/>
      <c r="BT584" s="132"/>
      <c r="BU584" s="132"/>
      <c r="BV584" s="132"/>
      <c r="BW584" s="132"/>
      <c r="BX584" s="132"/>
      <c r="BY584" s="132"/>
      <c r="BZ584" s="132"/>
      <c r="CA584" s="132"/>
      <c r="CB584" s="132"/>
      <c r="CC584" s="132"/>
      <c r="CD584" s="132"/>
      <c r="CE584" s="132"/>
      <c r="CF584" s="132"/>
      <c r="CG584" s="140"/>
    </row>
    <row r="585" spans="1:85" s="139" customFormat="1" ht="13.9" customHeight="1" x14ac:dyDescent="0.2">
      <c r="A585" s="208" t="s">
        <v>121</v>
      </c>
      <c r="B585" s="202">
        <v>51</v>
      </c>
      <c r="C585" s="203" t="s">
        <v>123</v>
      </c>
      <c r="D585" s="209" t="s">
        <v>140</v>
      </c>
      <c r="E585" s="210"/>
      <c r="F585" s="210">
        <v>1255848909</v>
      </c>
      <c r="G585" s="210"/>
      <c r="H585" s="209" t="s">
        <v>704</v>
      </c>
      <c r="I585" s="203" t="s">
        <v>471</v>
      </c>
      <c r="J585" s="202">
        <v>9</v>
      </c>
      <c r="K585" s="202">
        <v>9</v>
      </c>
      <c r="L585" s="202">
        <v>12</v>
      </c>
      <c r="M585" s="185">
        <f t="shared" si="140"/>
        <v>1</v>
      </c>
      <c r="N585" s="193" t="s">
        <v>36</v>
      </c>
      <c r="O585" s="194" t="s">
        <v>256</v>
      </c>
      <c r="P585" s="211">
        <f t="shared" si="135"/>
        <v>1</v>
      </c>
      <c r="Q585" s="196">
        <f t="shared" si="128"/>
        <v>1255848909</v>
      </c>
      <c r="R585" s="196">
        <f t="shared" si="129"/>
        <v>1255848909</v>
      </c>
      <c r="S585" s="201" t="s">
        <v>218</v>
      </c>
      <c r="T585" s="211">
        <f t="shared" si="136"/>
        <v>3</v>
      </c>
      <c r="U585" s="198" t="str">
        <f t="shared" si="141"/>
        <v>SUBDIRECCION DE GESTION CONTRACTUAL</v>
      </c>
      <c r="V585" s="211" t="str">
        <f t="shared" si="142"/>
        <v>CO-DC</v>
      </c>
      <c r="W585" s="211" t="str">
        <f t="shared" si="143"/>
        <v>Distrito Capital de Bogotá</v>
      </c>
      <c r="X585" s="209" t="s">
        <v>436</v>
      </c>
      <c r="Y585" s="202">
        <v>2427400</v>
      </c>
      <c r="Z585" s="212" t="s">
        <v>125</v>
      </c>
      <c r="AA585" s="134"/>
      <c r="AB585" s="134"/>
      <c r="AC585" s="134"/>
      <c r="AD585" s="134"/>
      <c r="AE585" s="134"/>
      <c r="AF585" s="134"/>
      <c r="AG585" s="134"/>
      <c r="AH585" s="134"/>
      <c r="AI585" s="134"/>
      <c r="AJ585" s="134"/>
      <c r="AK585" s="134"/>
      <c r="AL585" s="134"/>
      <c r="AM585" s="134"/>
      <c r="AN585" s="134"/>
      <c r="AO585" s="134"/>
      <c r="AP585" s="134"/>
      <c r="AQ585" s="134"/>
      <c r="AR585" s="134"/>
      <c r="AS585" s="134"/>
      <c r="AT585" s="134"/>
      <c r="AU585" s="132"/>
      <c r="AV585" s="132"/>
      <c r="AW585" s="132"/>
      <c r="AX585" s="132"/>
      <c r="AY585" s="132"/>
      <c r="AZ585" s="132"/>
      <c r="BA585" s="132"/>
      <c r="BB585" s="132"/>
      <c r="BC585" s="132"/>
      <c r="BD585" s="132"/>
      <c r="BE585" s="132"/>
      <c r="BF585" s="132"/>
      <c r="BG585" s="132"/>
      <c r="BH585" s="132"/>
      <c r="BI585" s="132"/>
      <c r="BJ585" s="132"/>
      <c r="BK585" s="132"/>
      <c r="BL585" s="132"/>
      <c r="BM585" s="132"/>
      <c r="BN585" s="132"/>
      <c r="BO585" s="132"/>
      <c r="BP585" s="132"/>
      <c r="BQ585" s="132"/>
      <c r="BR585" s="132"/>
      <c r="BS585" s="132"/>
      <c r="BT585" s="132"/>
      <c r="BU585" s="132"/>
      <c r="BV585" s="132"/>
      <c r="BW585" s="132"/>
      <c r="BX585" s="132"/>
      <c r="BY585" s="132"/>
      <c r="BZ585" s="132"/>
      <c r="CA585" s="132"/>
      <c r="CB585" s="132"/>
      <c r="CC585" s="132"/>
      <c r="CD585" s="132"/>
      <c r="CE585" s="132"/>
      <c r="CF585" s="132"/>
      <c r="CG585" s="140"/>
    </row>
    <row r="586" spans="1:85" s="139" customFormat="1" ht="13.9" customHeight="1" x14ac:dyDescent="0.2">
      <c r="A586" s="208" t="s">
        <v>121</v>
      </c>
      <c r="B586" s="202">
        <v>52</v>
      </c>
      <c r="C586" s="203" t="s">
        <v>123</v>
      </c>
      <c r="D586" s="209" t="s">
        <v>141</v>
      </c>
      <c r="E586" s="210">
        <v>0</v>
      </c>
      <c r="F586" s="210">
        <v>0</v>
      </c>
      <c r="G586" s="210"/>
      <c r="H586" s="209" t="s">
        <v>700</v>
      </c>
      <c r="I586" s="203" t="s">
        <v>472</v>
      </c>
      <c r="J586" s="202">
        <v>1</v>
      </c>
      <c r="K586" s="202">
        <v>1</v>
      </c>
      <c r="L586" s="202">
        <v>24</v>
      </c>
      <c r="M586" s="185">
        <f t="shared" si="140"/>
        <v>1</v>
      </c>
      <c r="N586" s="193" t="s">
        <v>142</v>
      </c>
      <c r="O586" s="194" t="s">
        <v>906</v>
      </c>
      <c r="P586" s="211">
        <f t="shared" si="135"/>
        <v>1</v>
      </c>
      <c r="Q586" s="196">
        <f t="shared" si="128"/>
        <v>0</v>
      </c>
      <c r="R586" s="196">
        <f t="shared" si="129"/>
        <v>0</v>
      </c>
      <c r="S586" s="201" t="s">
        <v>217</v>
      </c>
      <c r="T586" s="211">
        <f t="shared" si="136"/>
        <v>0</v>
      </c>
      <c r="U586" s="198" t="str">
        <f t="shared" si="141"/>
        <v>SUBDIRECCION DE GESTION CONTRACTUAL</v>
      </c>
      <c r="V586" s="211" t="str">
        <f t="shared" si="142"/>
        <v>CO-DC</v>
      </c>
      <c r="W586" s="211" t="str">
        <f t="shared" si="143"/>
        <v>Distrito Capital de Bogotá</v>
      </c>
      <c r="X586" s="209" t="s">
        <v>436</v>
      </c>
      <c r="Y586" s="202">
        <v>2427400</v>
      </c>
      <c r="Z586" s="212" t="s">
        <v>125</v>
      </c>
      <c r="AA586" s="134"/>
      <c r="AB586" s="134"/>
      <c r="AC586" s="134"/>
      <c r="AD586" s="134"/>
      <c r="AE586" s="134"/>
      <c r="AF586" s="134"/>
      <c r="AG586" s="134"/>
      <c r="AH586" s="134"/>
      <c r="AI586" s="134"/>
      <c r="AJ586" s="134"/>
      <c r="AK586" s="134"/>
      <c r="AL586" s="134"/>
      <c r="AM586" s="134"/>
      <c r="AN586" s="134"/>
      <c r="AO586" s="134"/>
      <c r="AP586" s="134"/>
      <c r="AQ586" s="134"/>
      <c r="AR586" s="134"/>
      <c r="AS586" s="134"/>
      <c r="AT586" s="134"/>
      <c r="AU586" s="132"/>
      <c r="AV586" s="132"/>
      <c r="AW586" s="132"/>
      <c r="AX586" s="132"/>
      <c r="AY586" s="132"/>
      <c r="AZ586" s="132"/>
      <c r="BA586" s="132"/>
      <c r="BB586" s="132"/>
      <c r="BC586" s="132"/>
      <c r="BD586" s="132"/>
      <c r="BE586" s="132"/>
      <c r="BF586" s="132"/>
      <c r="BG586" s="132"/>
      <c r="BH586" s="132"/>
      <c r="BI586" s="132"/>
      <c r="BJ586" s="132"/>
      <c r="BK586" s="132"/>
      <c r="BL586" s="132"/>
      <c r="BM586" s="132"/>
      <c r="BN586" s="132"/>
      <c r="BO586" s="132"/>
      <c r="BP586" s="132"/>
      <c r="BQ586" s="132"/>
      <c r="BR586" s="132"/>
      <c r="BS586" s="132"/>
      <c r="BT586" s="132"/>
      <c r="BU586" s="132"/>
      <c r="BV586" s="132"/>
      <c r="BW586" s="132"/>
      <c r="BX586" s="132"/>
      <c r="BY586" s="132"/>
      <c r="BZ586" s="132"/>
      <c r="CA586" s="132"/>
      <c r="CB586" s="132"/>
      <c r="CC586" s="132"/>
      <c r="CD586" s="132"/>
      <c r="CE586" s="132"/>
      <c r="CF586" s="132"/>
      <c r="CG586" s="140"/>
    </row>
    <row r="587" spans="1:85" s="139" customFormat="1" ht="13.9" customHeight="1" x14ac:dyDescent="0.2">
      <c r="A587" s="208" t="s">
        <v>121</v>
      </c>
      <c r="B587" s="202">
        <v>53</v>
      </c>
      <c r="C587" s="203" t="s">
        <v>535</v>
      </c>
      <c r="D587" s="209" t="s">
        <v>122</v>
      </c>
      <c r="E587" s="210"/>
      <c r="F587" s="210">
        <v>115000000</v>
      </c>
      <c r="G587" s="210"/>
      <c r="H587" s="209" t="s">
        <v>699</v>
      </c>
      <c r="I587" s="203" t="s">
        <v>863</v>
      </c>
      <c r="J587" s="202">
        <v>5</v>
      </c>
      <c r="K587" s="202">
        <v>6</v>
      </c>
      <c r="L587" s="202">
        <v>8</v>
      </c>
      <c r="M587" s="185">
        <f t="shared" si="140"/>
        <v>1</v>
      </c>
      <c r="N587" s="193" t="s">
        <v>296</v>
      </c>
      <c r="O587" s="194" t="s">
        <v>904</v>
      </c>
      <c r="P587" s="211">
        <v>1</v>
      </c>
      <c r="Q587" s="196">
        <f t="shared" si="128"/>
        <v>115000000</v>
      </c>
      <c r="R587" s="196">
        <f t="shared" si="129"/>
        <v>115000000</v>
      </c>
      <c r="S587" s="201">
        <v>0</v>
      </c>
      <c r="T587" s="211">
        <v>0</v>
      </c>
      <c r="U587" s="198" t="str">
        <f t="shared" si="141"/>
        <v>SUBDIRECCION DE GESTION CONTRACTUAL</v>
      </c>
      <c r="V587" s="211" t="str">
        <f t="shared" si="142"/>
        <v>CO-DC</v>
      </c>
      <c r="W587" s="211" t="str">
        <f t="shared" si="143"/>
        <v>Distrito Capital de Bogotá</v>
      </c>
      <c r="X587" s="209" t="s">
        <v>864</v>
      </c>
      <c r="Y587" s="202">
        <v>2427400</v>
      </c>
      <c r="Z587" s="127" t="s">
        <v>840</v>
      </c>
      <c r="AA587" s="134"/>
      <c r="AB587" s="134"/>
      <c r="AC587" s="134"/>
      <c r="AD587" s="134"/>
      <c r="AE587" s="134"/>
      <c r="AF587" s="134"/>
      <c r="AG587" s="134"/>
      <c r="AH587" s="134"/>
      <c r="AI587" s="134"/>
      <c r="AJ587" s="134"/>
      <c r="AK587" s="134"/>
      <c r="AL587" s="134"/>
      <c r="AM587" s="134"/>
      <c r="AN587" s="134"/>
      <c r="AO587" s="134"/>
      <c r="AP587" s="134"/>
      <c r="AQ587" s="134"/>
      <c r="AR587" s="134"/>
      <c r="AS587" s="134"/>
      <c r="AT587" s="134"/>
      <c r="AU587" s="132"/>
      <c r="AV587" s="132"/>
      <c r="AW587" s="132"/>
      <c r="AX587" s="132"/>
      <c r="AY587" s="132"/>
      <c r="AZ587" s="132"/>
      <c r="BA587" s="132"/>
      <c r="BB587" s="132"/>
      <c r="BC587" s="132"/>
      <c r="BD587" s="132"/>
      <c r="BE587" s="132"/>
      <c r="BF587" s="132"/>
      <c r="BG587" s="132"/>
      <c r="BH587" s="132"/>
      <c r="BI587" s="132"/>
      <c r="BJ587" s="132"/>
      <c r="BK587" s="132"/>
      <c r="BL587" s="132"/>
      <c r="BM587" s="132"/>
      <c r="BN587" s="132"/>
      <c r="BO587" s="132"/>
      <c r="BP587" s="132"/>
      <c r="BQ587" s="132"/>
      <c r="BR587" s="132"/>
      <c r="BS587" s="132"/>
      <c r="BT587" s="132"/>
      <c r="BU587" s="132"/>
      <c r="BV587" s="132"/>
      <c r="BW587" s="132"/>
      <c r="BX587" s="132"/>
      <c r="BY587" s="132"/>
      <c r="BZ587" s="132"/>
      <c r="CA587" s="132"/>
      <c r="CB587" s="132"/>
      <c r="CC587" s="132"/>
      <c r="CD587" s="132"/>
      <c r="CE587" s="132"/>
      <c r="CF587" s="132"/>
      <c r="CG587" s="140"/>
    </row>
    <row r="588" spans="1:85" s="139" customFormat="1" ht="13.9" customHeight="1" x14ac:dyDescent="0.2">
      <c r="A588" s="208" t="s">
        <v>174</v>
      </c>
      <c r="B588" s="202">
        <v>1</v>
      </c>
      <c r="C588" s="203" t="s">
        <v>46</v>
      </c>
      <c r="D588" s="209" t="s">
        <v>58</v>
      </c>
      <c r="E588" s="210"/>
      <c r="F588" s="210">
        <v>451000000</v>
      </c>
      <c r="G588" s="210"/>
      <c r="H588" s="209">
        <v>80111600</v>
      </c>
      <c r="I588" s="203" t="s">
        <v>485</v>
      </c>
      <c r="J588" s="202">
        <v>1</v>
      </c>
      <c r="K588" s="202">
        <v>1</v>
      </c>
      <c r="L588" s="202">
        <v>12</v>
      </c>
      <c r="M588" s="185">
        <f t="shared" si="140"/>
        <v>1</v>
      </c>
      <c r="N588" s="193" t="s">
        <v>210</v>
      </c>
      <c r="O588" s="194" t="s">
        <v>264</v>
      </c>
      <c r="P588" s="211">
        <f t="shared" ref="P588:P602" si="144">IF(ISBLANK(N588),"",1)</f>
        <v>1</v>
      </c>
      <c r="Q588" s="196">
        <f t="shared" si="128"/>
        <v>451000000</v>
      </c>
      <c r="R588" s="196">
        <f t="shared" si="129"/>
        <v>451000000</v>
      </c>
      <c r="S588" s="201" t="s">
        <v>217</v>
      </c>
      <c r="T588" s="211">
        <f t="shared" ref="T588:T602" si="145">IF(ISBLANK(S588),"",IF(VALUE(S588)=0,0,IF(VALUE(S588)=1,3,"")))</f>
        <v>0</v>
      </c>
      <c r="U588" s="198" t="str">
        <f t="shared" si="141"/>
        <v>SUBDIRECCION DE GESTION CONTRACTUAL</v>
      </c>
      <c r="V588" s="211" t="str">
        <f t="shared" si="142"/>
        <v>CO-DC</v>
      </c>
      <c r="W588" s="211" t="str">
        <f t="shared" si="143"/>
        <v>Distrito Capital de Bogotá</v>
      </c>
      <c r="X588" s="209" t="s">
        <v>590</v>
      </c>
      <c r="Y588" s="202">
        <v>2427400</v>
      </c>
      <c r="Z588" s="212" t="s">
        <v>486</v>
      </c>
      <c r="AA588" s="134"/>
      <c r="AB588" s="134"/>
      <c r="AC588" s="134"/>
      <c r="AD588" s="134"/>
      <c r="AE588" s="134"/>
      <c r="AF588" s="134"/>
      <c r="AG588" s="134"/>
      <c r="AH588" s="134"/>
      <c r="AI588" s="134"/>
      <c r="AJ588" s="134"/>
      <c r="AK588" s="134"/>
      <c r="AL588" s="134"/>
      <c r="AM588" s="134"/>
      <c r="AN588" s="134"/>
      <c r="AO588" s="134"/>
      <c r="AP588" s="134"/>
      <c r="AQ588" s="134"/>
      <c r="AR588" s="134"/>
      <c r="AS588" s="134"/>
      <c r="AT588" s="134"/>
      <c r="AU588" s="132"/>
      <c r="AV588" s="132"/>
      <c r="AW588" s="132"/>
      <c r="AX588" s="132"/>
      <c r="AY588" s="132"/>
      <c r="AZ588" s="132"/>
      <c r="BA588" s="132"/>
      <c r="BB588" s="132"/>
      <c r="BC588" s="132"/>
      <c r="BD588" s="132"/>
      <c r="BE588" s="132"/>
      <c r="BF588" s="132"/>
      <c r="BG588" s="132"/>
      <c r="BH588" s="132"/>
      <c r="BI588" s="132"/>
      <c r="BJ588" s="132"/>
      <c r="BK588" s="132"/>
      <c r="BL588" s="132"/>
      <c r="BM588" s="132"/>
      <c r="BN588" s="132"/>
      <c r="BO588" s="132"/>
      <c r="BP588" s="132"/>
      <c r="BQ588" s="132"/>
      <c r="BR588" s="132"/>
      <c r="BS588" s="132"/>
      <c r="BT588" s="132"/>
      <c r="BU588" s="132"/>
      <c r="BV588" s="132"/>
      <c r="BW588" s="132"/>
      <c r="BX588" s="132"/>
      <c r="BY588" s="132"/>
      <c r="BZ588" s="132"/>
      <c r="CA588" s="132"/>
      <c r="CB588" s="132"/>
      <c r="CC588" s="132"/>
      <c r="CD588" s="132"/>
      <c r="CE588" s="132"/>
      <c r="CF588" s="132"/>
      <c r="CG588" s="140"/>
    </row>
    <row r="589" spans="1:85" s="139" customFormat="1" ht="13.9" customHeight="1" x14ac:dyDescent="0.2">
      <c r="A589" s="208" t="s">
        <v>143</v>
      </c>
      <c r="B589" s="202">
        <v>1</v>
      </c>
      <c r="C589" s="203" t="s">
        <v>487</v>
      </c>
      <c r="D589" s="209" t="s">
        <v>147</v>
      </c>
      <c r="E589" s="210"/>
      <c r="F589" s="210">
        <f>600000000+10400000</f>
        <v>610400000</v>
      </c>
      <c r="G589" s="210"/>
      <c r="H589" s="209">
        <v>80111600</v>
      </c>
      <c r="I589" s="203" t="s">
        <v>569</v>
      </c>
      <c r="J589" s="202">
        <v>1</v>
      </c>
      <c r="K589" s="202">
        <v>1</v>
      </c>
      <c r="L589" s="202">
        <v>12</v>
      </c>
      <c r="M589" s="185">
        <f t="shared" si="140"/>
        <v>1</v>
      </c>
      <c r="N589" s="193" t="s">
        <v>210</v>
      </c>
      <c r="O589" s="194" t="s">
        <v>264</v>
      </c>
      <c r="P589" s="211">
        <f t="shared" si="144"/>
        <v>1</v>
      </c>
      <c r="Q589" s="196">
        <f t="shared" si="128"/>
        <v>610400000</v>
      </c>
      <c r="R589" s="196">
        <f t="shared" si="129"/>
        <v>610400000</v>
      </c>
      <c r="S589" s="201" t="s">
        <v>217</v>
      </c>
      <c r="T589" s="211">
        <f t="shared" si="145"/>
        <v>0</v>
      </c>
      <c r="U589" s="198" t="str">
        <f t="shared" si="141"/>
        <v>SUBDIRECCION DE GESTION CONTRACTUAL</v>
      </c>
      <c r="V589" s="211" t="str">
        <f t="shared" si="142"/>
        <v>CO-DC</v>
      </c>
      <c r="W589" s="211" t="str">
        <f t="shared" si="143"/>
        <v>Distrito Capital de Bogotá</v>
      </c>
      <c r="X589" s="209" t="s">
        <v>1006</v>
      </c>
      <c r="Y589" s="202">
        <v>2427401</v>
      </c>
      <c r="Z589" s="127" t="s">
        <v>1007</v>
      </c>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2"/>
      <c r="AV589" s="132"/>
      <c r="AW589" s="132"/>
      <c r="AX589" s="132"/>
      <c r="AY589" s="132"/>
      <c r="AZ589" s="132"/>
      <c r="BA589" s="132"/>
      <c r="BB589" s="132"/>
      <c r="BC589" s="132"/>
      <c r="BD589" s="132"/>
      <c r="BE589" s="132"/>
      <c r="BF589" s="132"/>
      <c r="BG589" s="132"/>
      <c r="BH589" s="132"/>
      <c r="BI589" s="132"/>
      <c r="BJ589" s="132"/>
      <c r="BK589" s="132"/>
      <c r="BL589" s="132"/>
      <c r="BM589" s="132"/>
      <c r="BN589" s="132"/>
      <c r="BO589" s="132"/>
      <c r="BP589" s="132"/>
      <c r="BQ589" s="132"/>
      <c r="BR589" s="132"/>
      <c r="BS589" s="132"/>
      <c r="BT589" s="132"/>
      <c r="BU589" s="132"/>
      <c r="BV589" s="132"/>
      <c r="BW589" s="132"/>
      <c r="BX589" s="132"/>
      <c r="BY589" s="132"/>
      <c r="BZ589" s="132"/>
      <c r="CA589" s="132"/>
      <c r="CB589" s="132"/>
      <c r="CC589" s="132"/>
      <c r="CD589" s="132"/>
      <c r="CE589" s="132"/>
      <c r="CF589" s="132"/>
      <c r="CG589" s="140"/>
    </row>
    <row r="590" spans="1:85" s="139" customFormat="1" ht="13.9" customHeight="1" x14ac:dyDescent="0.2">
      <c r="A590" s="208" t="s">
        <v>143</v>
      </c>
      <c r="B590" s="202">
        <v>2</v>
      </c>
      <c r="C590" s="203" t="s">
        <v>487</v>
      </c>
      <c r="D590" s="209" t="s">
        <v>147</v>
      </c>
      <c r="E590" s="210"/>
      <c r="F590" s="210">
        <v>270100000</v>
      </c>
      <c r="G590" s="210"/>
      <c r="H590" s="188" t="s">
        <v>710</v>
      </c>
      <c r="I590" s="203" t="s">
        <v>540</v>
      </c>
      <c r="J590" s="190">
        <v>2</v>
      </c>
      <c r="K590" s="191">
        <v>3</v>
      </c>
      <c r="L590" s="192">
        <v>9</v>
      </c>
      <c r="M590" s="185">
        <f t="shared" si="140"/>
        <v>1</v>
      </c>
      <c r="N590" s="193" t="s">
        <v>221</v>
      </c>
      <c r="O590" s="194" t="s">
        <v>903</v>
      </c>
      <c r="P590" s="211">
        <f t="shared" si="144"/>
        <v>1</v>
      </c>
      <c r="Q590" s="196">
        <f t="shared" si="128"/>
        <v>270100000</v>
      </c>
      <c r="R590" s="196">
        <f t="shared" si="129"/>
        <v>270100000</v>
      </c>
      <c r="S590" s="201" t="s">
        <v>217</v>
      </c>
      <c r="T590" s="211">
        <f t="shared" si="145"/>
        <v>0</v>
      </c>
      <c r="U590" s="198" t="str">
        <f t="shared" si="141"/>
        <v>SUBDIRECCION DE GESTION CONTRACTUAL</v>
      </c>
      <c r="V590" s="211" t="str">
        <f t="shared" si="142"/>
        <v>CO-DC</v>
      </c>
      <c r="W590" s="211" t="str">
        <f t="shared" si="143"/>
        <v>Distrito Capital de Bogotá</v>
      </c>
      <c r="X590" s="209" t="s">
        <v>1006</v>
      </c>
      <c r="Y590" s="202">
        <v>2427401</v>
      </c>
      <c r="Z590" s="127" t="s">
        <v>1007</v>
      </c>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2"/>
      <c r="AV590" s="132"/>
      <c r="AW590" s="132"/>
      <c r="AX590" s="132"/>
      <c r="AY590" s="132"/>
      <c r="AZ590" s="132"/>
      <c r="BA590" s="132"/>
      <c r="BB590" s="132"/>
      <c r="BC590" s="132"/>
      <c r="BD590" s="132"/>
      <c r="BE590" s="132"/>
      <c r="BF590" s="132"/>
      <c r="BG590" s="132"/>
      <c r="BH590" s="132"/>
      <c r="BI590" s="132"/>
      <c r="BJ590" s="132"/>
      <c r="BK590" s="132"/>
      <c r="BL590" s="132"/>
      <c r="BM590" s="132"/>
      <c r="BN590" s="132"/>
      <c r="BO590" s="132"/>
      <c r="BP590" s="132"/>
      <c r="BQ590" s="132"/>
      <c r="BR590" s="132"/>
      <c r="BS590" s="132"/>
      <c r="BT590" s="132"/>
      <c r="BU590" s="132"/>
      <c r="BV590" s="132"/>
      <c r="BW590" s="132"/>
      <c r="BX590" s="132"/>
      <c r="BY590" s="132"/>
      <c r="BZ590" s="132"/>
      <c r="CA590" s="132"/>
      <c r="CB590" s="132"/>
      <c r="CC590" s="132"/>
      <c r="CD590" s="132"/>
      <c r="CE590" s="132"/>
      <c r="CF590" s="132"/>
      <c r="CG590" s="140"/>
    </row>
    <row r="591" spans="1:85" s="139" customFormat="1" ht="13.9" customHeight="1" x14ac:dyDescent="0.2">
      <c r="A591" s="208" t="s">
        <v>143</v>
      </c>
      <c r="B591" s="202">
        <v>3</v>
      </c>
      <c r="C591" s="203" t="s">
        <v>487</v>
      </c>
      <c r="D591" s="209" t="s">
        <v>147</v>
      </c>
      <c r="E591" s="210">
        <v>29515520</v>
      </c>
      <c r="F591" s="210">
        <f>20000000+50000000-29515520</f>
        <v>40484480</v>
      </c>
      <c r="G591" s="210"/>
      <c r="H591" s="188" t="s">
        <v>42</v>
      </c>
      <c r="I591" s="203" t="s">
        <v>543</v>
      </c>
      <c r="J591" s="190">
        <v>3</v>
      </c>
      <c r="K591" s="191">
        <v>4</v>
      </c>
      <c r="L591" s="192">
        <v>9</v>
      </c>
      <c r="M591" s="185">
        <f t="shared" si="140"/>
        <v>1</v>
      </c>
      <c r="N591" s="193" t="s">
        <v>61</v>
      </c>
      <c r="O591" s="194" t="s">
        <v>902</v>
      </c>
      <c r="P591" s="211">
        <f t="shared" si="144"/>
        <v>1</v>
      </c>
      <c r="Q591" s="196">
        <f t="shared" si="128"/>
        <v>70000000</v>
      </c>
      <c r="R591" s="196">
        <f t="shared" si="129"/>
        <v>40484480</v>
      </c>
      <c r="S591" s="201" t="s">
        <v>217</v>
      </c>
      <c r="T591" s="211">
        <f t="shared" si="145"/>
        <v>0</v>
      </c>
      <c r="U591" s="198" t="str">
        <f t="shared" si="141"/>
        <v>SUBDIRECCION DE GESTION CONTRACTUAL</v>
      </c>
      <c r="V591" s="185" t="str">
        <f t="shared" si="142"/>
        <v>CO-DC</v>
      </c>
      <c r="W591" s="198" t="str">
        <f t="shared" si="143"/>
        <v>Distrito Capital de Bogotá</v>
      </c>
      <c r="X591" s="199" t="s">
        <v>321</v>
      </c>
      <c r="Y591" s="202">
        <v>2427400</v>
      </c>
      <c r="Z591" s="212" t="s">
        <v>75</v>
      </c>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2"/>
      <c r="AV591" s="132"/>
      <c r="AW591" s="132"/>
      <c r="AX591" s="132"/>
      <c r="AY591" s="132"/>
      <c r="AZ591" s="132"/>
      <c r="BA591" s="132"/>
      <c r="BB591" s="132"/>
      <c r="BC591" s="132"/>
      <c r="BD591" s="132"/>
      <c r="BE591" s="132"/>
      <c r="BF591" s="132"/>
      <c r="BG591" s="132"/>
      <c r="BH591" s="132"/>
      <c r="BI591" s="132"/>
      <c r="BJ591" s="132"/>
      <c r="BK591" s="132"/>
      <c r="BL591" s="132"/>
      <c r="BM591" s="132"/>
      <c r="BN591" s="132"/>
      <c r="BO591" s="132"/>
      <c r="BP591" s="132"/>
      <c r="BQ591" s="132"/>
      <c r="BR591" s="132"/>
      <c r="BS591" s="132"/>
      <c r="BT591" s="132"/>
      <c r="BU591" s="132"/>
      <c r="BV591" s="132"/>
      <c r="BW591" s="132"/>
      <c r="BX591" s="132"/>
      <c r="BY591" s="132"/>
      <c r="BZ591" s="132"/>
      <c r="CA591" s="132"/>
      <c r="CB591" s="132"/>
      <c r="CC591" s="132"/>
      <c r="CD591" s="132"/>
      <c r="CE591" s="132"/>
      <c r="CF591" s="132"/>
      <c r="CG591" s="140"/>
    </row>
    <row r="592" spans="1:85" s="139" customFormat="1" ht="13.9" customHeight="1" x14ac:dyDescent="0.2">
      <c r="A592" s="208" t="s">
        <v>143</v>
      </c>
      <c r="B592" s="202">
        <v>4</v>
      </c>
      <c r="C592" s="203" t="s">
        <v>487</v>
      </c>
      <c r="D592" s="209" t="s">
        <v>488</v>
      </c>
      <c r="E592" s="210"/>
      <c r="F592" s="210">
        <f>145200000-145200000</f>
        <v>0</v>
      </c>
      <c r="G592" s="210"/>
      <c r="H592" s="209" t="s">
        <v>144</v>
      </c>
      <c r="I592" s="203" t="s">
        <v>570</v>
      </c>
      <c r="J592" s="202">
        <v>5</v>
      </c>
      <c r="K592" s="202">
        <v>5</v>
      </c>
      <c r="L592" s="202">
        <v>7</v>
      </c>
      <c r="M592" s="185">
        <f t="shared" si="140"/>
        <v>1</v>
      </c>
      <c r="N592" s="193" t="s">
        <v>142</v>
      </c>
      <c r="O592" s="194" t="s">
        <v>906</v>
      </c>
      <c r="P592" s="211">
        <f t="shared" si="144"/>
        <v>1</v>
      </c>
      <c r="Q592" s="196">
        <f t="shared" si="128"/>
        <v>0</v>
      </c>
      <c r="R592" s="196">
        <f t="shared" si="129"/>
        <v>0</v>
      </c>
      <c r="S592" s="201" t="s">
        <v>217</v>
      </c>
      <c r="T592" s="211">
        <f t="shared" si="145"/>
        <v>0</v>
      </c>
      <c r="U592" s="198" t="str">
        <f t="shared" si="141"/>
        <v>SUBDIRECCION DE GESTION CONTRACTUAL</v>
      </c>
      <c r="V592" s="211" t="str">
        <f t="shared" si="142"/>
        <v>CO-DC</v>
      </c>
      <c r="W592" s="211" t="str">
        <f t="shared" si="143"/>
        <v>Distrito Capital de Bogotá</v>
      </c>
      <c r="X592" s="209" t="s">
        <v>1006</v>
      </c>
      <c r="Y592" s="202">
        <v>2427401</v>
      </c>
      <c r="Z592" s="127" t="s">
        <v>1007</v>
      </c>
      <c r="AA592" s="134"/>
      <c r="AB592" s="134"/>
      <c r="AC592" s="134"/>
      <c r="AD592" s="134"/>
      <c r="AE592" s="134"/>
      <c r="AF592" s="134"/>
      <c r="AG592" s="134"/>
      <c r="AH592" s="134"/>
      <c r="AI592" s="134"/>
      <c r="AJ592" s="134"/>
      <c r="AK592" s="134"/>
      <c r="AL592" s="134"/>
      <c r="AM592" s="134"/>
      <c r="AN592" s="134"/>
      <c r="AO592" s="134"/>
      <c r="AP592" s="134"/>
      <c r="AQ592" s="134"/>
      <c r="AR592" s="134"/>
      <c r="AS592" s="134"/>
      <c r="AT592" s="134"/>
      <c r="AU592" s="132"/>
      <c r="AV592" s="132"/>
      <c r="AW592" s="132"/>
      <c r="AX592" s="132"/>
      <c r="AY592" s="132"/>
      <c r="AZ592" s="132"/>
      <c r="BA592" s="132"/>
      <c r="BB592" s="132"/>
      <c r="BC592" s="132"/>
      <c r="BD592" s="132"/>
      <c r="BE592" s="132"/>
      <c r="BF592" s="132"/>
      <c r="BG592" s="132"/>
      <c r="BH592" s="132"/>
      <c r="BI592" s="132"/>
      <c r="BJ592" s="132"/>
      <c r="BK592" s="132"/>
      <c r="BL592" s="132"/>
      <c r="BM592" s="132"/>
      <c r="BN592" s="132"/>
      <c r="BO592" s="132"/>
      <c r="BP592" s="132"/>
      <c r="BQ592" s="132"/>
      <c r="BR592" s="132"/>
      <c r="BS592" s="132"/>
      <c r="BT592" s="132"/>
      <c r="BU592" s="132"/>
      <c r="BV592" s="132"/>
      <c r="BW592" s="132"/>
      <c r="BX592" s="132"/>
      <c r="BY592" s="132"/>
      <c r="BZ592" s="132"/>
      <c r="CA592" s="132"/>
      <c r="CB592" s="132"/>
      <c r="CC592" s="132"/>
      <c r="CD592" s="132"/>
      <c r="CE592" s="132"/>
      <c r="CF592" s="132"/>
      <c r="CG592" s="140"/>
    </row>
    <row r="593" spans="1:85" s="139" customFormat="1" ht="13.9" customHeight="1" x14ac:dyDescent="0.2">
      <c r="A593" s="208" t="s">
        <v>143</v>
      </c>
      <c r="B593" s="202">
        <v>5</v>
      </c>
      <c r="C593" s="203" t="s">
        <v>148</v>
      </c>
      <c r="D593" s="209" t="s">
        <v>489</v>
      </c>
      <c r="E593" s="210"/>
      <c r="F593" s="210">
        <v>500000000</v>
      </c>
      <c r="G593" s="210"/>
      <c r="H593" s="209" t="s">
        <v>794</v>
      </c>
      <c r="I593" s="203" t="s">
        <v>793</v>
      </c>
      <c r="J593" s="202">
        <v>3</v>
      </c>
      <c r="K593" s="202">
        <v>3</v>
      </c>
      <c r="L593" s="202">
        <v>9</v>
      </c>
      <c r="M593" s="185">
        <f t="shared" si="140"/>
        <v>1</v>
      </c>
      <c r="N593" s="193" t="s">
        <v>36</v>
      </c>
      <c r="O593" s="194" t="s">
        <v>256</v>
      </c>
      <c r="P593" s="211">
        <f t="shared" si="144"/>
        <v>1</v>
      </c>
      <c r="Q593" s="196">
        <f t="shared" si="128"/>
        <v>500000000</v>
      </c>
      <c r="R593" s="196">
        <f t="shared" si="129"/>
        <v>500000000</v>
      </c>
      <c r="S593" s="201" t="s">
        <v>217</v>
      </c>
      <c r="T593" s="211">
        <f t="shared" si="145"/>
        <v>0</v>
      </c>
      <c r="U593" s="198" t="str">
        <f t="shared" si="141"/>
        <v>SUBDIRECCION DE GESTION CONTRACTUAL</v>
      </c>
      <c r="V593" s="211" t="str">
        <f t="shared" si="142"/>
        <v>CO-DC</v>
      </c>
      <c r="W593" s="211" t="str">
        <f t="shared" si="143"/>
        <v>Distrito Capital de Bogotá</v>
      </c>
      <c r="X593" s="209" t="s">
        <v>1006</v>
      </c>
      <c r="Y593" s="202">
        <v>2427401</v>
      </c>
      <c r="Z593" s="127" t="s">
        <v>1007</v>
      </c>
      <c r="AA593" s="134"/>
      <c r="AB593" s="134"/>
      <c r="AC593" s="134"/>
      <c r="AD593" s="134"/>
      <c r="AE593" s="134"/>
      <c r="AF593" s="134"/>
      <c r="AG593" s="134"/>
      <c r="AH593" s="134"/>
      <c r="AI593" s="134"/>
      <c r="AJ593" s="134"/>
      <c r="AK593" s="134"/>
      <c r="AL593" s="134"/>
      <c r="AM593" s="134"/>
      <c r="AN593" s="134"/>
      <c r="AO593" s="134"/>
      <c r="AP593" s="134"/>
      <c r="AQ593" s="134"/>
      <c r="AR593" s="134"/>
      <c r="AS593" s="134"/>
      <c r="AT593" s="134"/>
      <c r="AU593" s="132"/>
      <c r="AV593" s="132"/>
      <c r="AW593" s="132"/>
      <c r="AX593" s="132"/>
      <c r="AY593" s="132"/>
      <c r="AZ593" s="132"/>
      <c r="BA593" s="132"/>
      <c r="BB593" s="132"/>
      <c r="BC593" s="132"/>
      <c r="BD593" s="132"/>
      <c r="BE593" s="132"/>
      <c r="BF593" s="132"/>
      <c r="BG593" s="132"/>
      <c r="BH593" s="132"/>
      <c r="BI593" s="132"/>
      <c r="BJ593" s="132"/>
      <c r="BK593" s="132"/>
      <c r="BL593" s="132"/>
      <c r="BM593" s="132"/>
      <c r="BN593" s="132"/>
      <c r="BO593" s="132"/>
      <c r="BP593" s="132"/>
      <c r="BQ593" s="132"/>
      <c r="BR593" s="132"/>
      <c r="BS593" s="132"/>
      <c r="BT593" s="132"/>
      <c r="BU593" s="132"/>
      <c r="BV593" s="132"/>
      <c r="BW593" s="132"/>
      <c r="BX593" s="132"/>
      <c r="BY593" s="132"/>
      <c r="BZ593" s="132"/>
      <c r="CA593" s="132"/>
      <c r="CB593" s="132"/>
      <c r="CC593" s="132"/>
      <c r="CD593" s="132"/>
      <c r="CE593" s="132"/>
      <c r="CF593" s="132"/>
      <c r="CG593" s="140"/>
    </row>
    <row r="594" spans="1:85" s="139" customFormat="1" ht="13.9" customHeight="1" x14ac:dyDescent="0.2">
      <c r="A594" s="208" t="s">
        <v>143</v>
      </c>
      <c r="B594" s="202">
        <v>6</v>
      </c>
      <c r="C594" s="203" t="s">
        <v>148</v>
      </c>
      <c r="D594" s="209" t="s">
        <v>489</v>
      </c>
      <c r="E594" s="210"/>
      <c r="F594" s="210">
        <f>500000000-400000000</f>
        <v>100000000</v>
      </c>
      <c r="G594" s="210"/>
      <c r="H594" s="209" t="s">
        <v>706</v>
      </c>
      <c r="I594" s="203" t="s">
        <v>571</v>
      </c>
      <c r="J594" s="202">
        <v>3</v>
      </c>
      <c r="K594" s="202">
        <v>3</v>
      </c>
      <c r="L594" s="202">
        <v>9</v>
      </c>
      <c r="M594" s="185">
        <f t="shared" si="140"/>
        <v>1</v>
      </c>
      <c r="N594" s="193" t="s">
        <v>36</v>
      </c>
      <c r="O594" s="194" t="s">
        <v>256</v>
      </c>
      <c r="P594" s="211">
        <f t="shared" si="144"/>
        <v>1</v>
      </c>
      <c r="Q594" s="196">
        <f t="shared" si="128"/>
        <v>100000000</v>
      </c>
      <c r="R594" s="196">
        <f t="shared" si="129"/>
        <v>100000000</v>
      </c>
      <c r="S594" s="201" t="s">
        <v>217</v>
      </c>
      <c r="T594" s="211">
        <f t="shared" si="145"/>
        <v>0</v>
      </c>
      <c r="U594" s="198" t="str">
        <f t="shared" si="141"/>
        <v>SUBDIRECCION DE GESTION CONTRACTUAL</v>
      </c>
      <c r="V594" s="211" t="str">
        <f t="shared" si="142"/>
        <v>CO-DC</v>
      </c>
      <c r="W594" s="211" t="str">
        <f t="shared" si="143"/>
        <v>Distrito Capital de Bogotá</v>
      </c>
      <c r="X594" s="209" t="s">
        <v>1006</v>
      </c>
      <c r="Y594" s="202">
        <v>2427401</v>
      </c>
      <c r="Z594" s="127" t="s">
        <v>1007</v>
      </c>
      <c r="AA594" s="134"/>
      <c r="AB594" s="134"/>
      <c r="AC594" s="134"/>
      <c r="AD594" s="134"/>
      <c r="AE594" s="134"/>
      <c r="AF594" s="134"/>
      <c r="AG594" s="134"/>
      <c r="AH594" s="134"/>
      <c r="AI594" s="134"/>
      <c r="AJ594" s="134"/>
      <c r="AK594" s="134"/>
      <c r="AL594" s="134"/>
      <c r="AM594" s="134"/>
      <c r="AN594" s="134"/>
      <c r="AO594" s="134"/>
      <c r="AP594" s="134"/>
      <c r="AQ594" s="134"/>
      <c r="AR594" s="134"/>
      <c r="AS594" s="134"/>
      <c r="AT594" s="134"/>
      <c r="AU594" s="132"/>
      <c r="AV594" s="132"/>
      <c r="AW594" s="132"/>
      <c r="AX594" s="132"/>
      <c r="AY594" s="132"/>
      <c r="AZ594" s="132"/>
      <c r="BA594" s="132"/>
      <c r="BB594" s="132"/>
      <c r="BC594" s="132"/>
      <c r="BD594" s="132"/>
      <c r="BE594" s="132"/>
      <c r="BF594" s="132"/>
      <c r="BG594" s="132"/>
      <c r="BH594" s="132"/>
      <c r="BI594" s="132"/>
      <c r="BJ594" s="132"/>
      <c r="BK594" s="132"/>
      <c r="BL594" s="132"/>
      <c r="BM594" s="132"/>
      <c r="BN594" s="132"/>
      <c r="BO594" s="132"/>
      <c r="BP594" s="132"/>
      <c r="BQ594" s="132"/>
      <c r="BR594" s="132"/>
      <c r="BS594" s="132"/>
      <c r="BT594" s="132"/>
      <c r="BU594" s="132"/>
      <c r="BV594" s="132"/>
      <c r="BW594" s="132"/>
      <c r="BX594" s="132"/>
      <c r="BY594" s="132"/>
      <c r="BZ594" s="132"/>
      <c r="CA594" s="132"/>
      <c r="CB594" s="132"/>
      <c r="CC594" s="132"/>
      <c r="CD594" s="132"/>
      <c r="CE594" s="132"/>
      <c r="CF594" s="132"/>
      <c r="CG594" s="140"/>
    </row>
    <row r="595" spans="1:85" s="139" customFormat="1" ht="13.9" customHeight="1" x14ac:dyDescent="0.2">
      <c r="A595" s="208" t="s">
        <v>143</v>
      </c>
      <c r="B595" s="202">
        <v>7</v>
      </c>
      <c r="C595" s="203" t="s">
        <v>490</v>
      </c>
      <c r="D595" s="209" t="s">
        <v>489</v>
      </c>
      <c r="E595" s="210"/>
      <c r="F595" s="210">
        <f>658100000-10400000</f>
        <v>647700000</v>
      </c>
      <c r="G595" s="210"/>
      <c r="H595" s="209">
        <v>80111600</v>
      </c>
      <c r="I595" s="203" t="s">
        <v>572</v>
      </c>
      <c r="J595" s="202">
        <v>1</v>
      </c>
      <c r="K595" s="202">
        <v>1</v>
      </c>
      <c r="L595" s="202">
        <v>12</v>
      </c>
      <c r="M595" s="185">
        <f t="shared" si="140"/>
        <v>1</v>
      </c>
      <c r="N595" s="193" t="s">
        <v>210</v>
      </c>
      <c r="O595" s="194" t="s">
        <v>264</v>
      </c>
      <c r="P595" s="211">
        <f t="shared" si="144"/>
        <v>1</v>
      </c>
      <c r="Q595" s="196">
        <f t="shared" si="128"/>
        <v>647700000</v>
      </c>
      <c r="R595" s="196">
        <f t="shared" si="129"/>
        <v>647700000</v>
      </c>
      <c r="S595" s="201" t="s">
        <v>217</v>
      </c>
      <c r="T595" s="211">
        <f t="shared" si="145"/>
        <v>0</v>
      </c>
      <c r="U595" s="198" t="str">
        <f t="shared" si="141"/>
        <v>SUBDIRECCION DE GESTION CONTRACTUAL</v>
      </c>
      <c r="V595" s="211" t="str">
        <f t="shared" si="142"/>
        <v>CO-DC</v>
      </c>
      <c r="W595" s="211" t="str">
        <f t="shared" si="143"/>
        <v>Distrito Capital de Bogotá</v>
      </c>
      <c r="X595" s="209" t="s">
        <v>1006</v>
      </c>
      <c r="Y595" s="202">
        <v>2427401</v>
      </c>
      <c r="Z595" s="127" t="s">
        <v>1007</v>
      </c>
      <c r="AA595" s="134"/>
      <c r="AB595" s="134"/>
      <c r="AC595" s="134"/>
      <c r="AD595" s="134"/>
      <c r="AE595" s="134"/>
      <c r="AF595" s="134"/>
      <c r="AG595" s="134"/>
      <c r="AH595" s="134"/>
      <c r="AI595" s="134"/>
      <c r="AJ595" s="134"/>
      <c r="AK595" s="134"/>
      <c r="AL595" s="134"/>
      <c r="AM595" s="134"/>
      <c r="AN595" s="134"/>
      <c r="AO595" s="134"/>
      <c r="AP595" s="134"/>
      <c r="AQ595" s="134"/>
      <c r="AR595" s="134"/>
      <c r="AS595" s="134"/>
      <c r="AT595" s="134"/>
      <c r="AU595" s="132"/>
      <c r="AV595" s="132"/>
      <c r="AW595" s="132"/>
      <c r="AX595" s="132"/>
      <c r="AY595" s="132"/>
      <c r="AZ595" s="132"/>
      <c r="BA595" s="132"/>
      <c r="BB595" s="132"/>
      <c r="BC595" s="132"/>
      <c r="BD595" s="132"/>
      <c r="BE595" s="132"/>
      <c r="BF595" s="132"/>
      <c r="BG595" s="132"/>
      <c r="BH595" s="132"/>
      <c r="BI595" s="132"/>
      <c r="BJ595" s="132"/>
      <c r="BK595" s="132"/>
      <c r="BL595" s="132"/>
      <c r="BM595" s="132"/>
      <c r="BN595" s="132"/>
      <c r="BO595" s="132"/>
      <c r="BP595" s="132"/>
      <c r="BQ595" s="132"/>
      <c r="BR595" s="132"/>
      <c r="BS595" s="132"/>
      <c r="BT595" s="132"/>
      <c r="BU595" s="132"/>
      <c r="BV595" s="132"/>
      <c r="BW595" s="132"/>
      <c r="BX595" s="132"/>
      <c r="BY595" s="132"/>
      <c r="BZ595" s="132"/>
      <c r="CA595" s="132"/>
      <c r="CB595" s="132"/>
      <c r="CC595" s="132"/>
      <c r="CD595" s="132"/>
      <c r="CE595" s="132"/>
      <c r="CF595" s="132"/>
      <c r="CG595" s="140"/>
    </row>
    <row r="596" spans="1:85" s="139" customFormat="1" ht="13.9" customHeight="1" x14ac:dyDescent="0.2">
      <c r="A596" s="208" t="s">
        <v>143</v>
      </c>
      <c r="B596" s="202">
        <v>8</v>
      </c>
      <c r="C596" s="203" t="s">
        <v>491</v>
      </c>
      <c r="D596" s="209" t="s">
        <v>763</v>
      </c>
      <c r="E596" s="210"/>
      <c r="F596" s="210">
        <f>634400000-18000000</f>
        <v>616400000</v>
      </c>
      <c r="G596" s="210"/>
      <c r="H596" s="209" t="s">
        <v>706</v>
      </c>
      <c r="I596" s="203" t="s">
        <v>571</v>
      </c>
      <c r="J596" s="202">
        <v>3</v>
      </c>
      <c r="K596" s="202">
        <v>3</v>
      </c>
      <c r="L596" s="202">
        <v>9</v>
      </c>
      <c r="M596" s="185">
        <f t="shared" si="140"/>
        <v>1</v>
      </c>
      <c r="N596" s="193" t="s">
        <v>36</v>
      </c>
      <c r="O596" s="194" t="s">
        <v>256</v>
      </c>
      <c r="P596" s="211">
        <f t="shared" si="144"/>
        <v>1</v>
      </c>
      <c r="Q596" s="196">
        <f t="shared" si="128"/>
        <v>616400000</v>
      </c>
      <c r="R596" s="196">
        <f t="shared" si="129"/>
        <v>616400000</v>
      </c>
      <c r="S596" s="201" t="s">
        <v>217</v>
      </c>
      <c r="T596" s="211">
        <f t="shared" si="145"/>
        <v>0</v>
      </c>
      <c r="U596" s="198" t="str">
        <f t="shared" si="141"/>
        <v>SUBDIRECCION DE GESTION CONTRACTUAL</v>
      </c>
      <c r="V596" s="211" t="str">
        <f t="shared" si="142"/>
        <v>CO-DC</v>
      </c>
      <c r="W596" s="211" t="str">
        <f t="shared" si="143"/>
        <v>Distrito Capital de Bogotá</v>
      </c>
      <c r="X596" s="209" t="s">
        <v>1006</v>
      </c>
      <c r="Y596" s="202">
        <v>2427401</v>
      </c>
      <c r="Z596" s="127" t="s">
        <v>1007</v>
      </c>
      <c r="AA596" s="134"/>
      <c r="AB596" s="134"/>
      <c r="AC596" s="134"/>
      <c r="AD596" s="134"/>
      <c r="AE596" s="134"/>
      <c r="AF596" s="134"/>
      <c r="AG596" s="134"/>
      <c r="AH596" s="134"/>
      <c r="AI596" s="134"/>
      <c r="AJ596" s="134"/>
      <c r="AK596" s="134"/>
      <c r="AL596" s="134"/>
      <c r="AM596" s="134"/>
      <c r="AN596" s="134"/>
      <c r="AO596" s="134"/>
      <c r="AP596" s="134"/>
      <c r="AQ596" s="134"/>
      <c r="AR596" s="134"/>
      <c r="AS596" s="134"/>
      <c r="AT596" s="134"/>
      <c r="AU596" s="132"/>
      <c r="AV596" s="132"/>
      <c r="AW596" s="132"/>
      <c r="AX596" s="132"/>
      <c r="AY596" s="132"/>
      <c r="AZ596" s="132"/>
      <c r="BA596" s="132"/>
      <c r="BB596" s="132"/>
      <c r="BC596" s="132"/>
      <c r="BD596" s="132"/>
      <c r="BE596" s="132"/>
      <c r="BF596" s="132"/>
      <c r="BG596" s="132"/>
      <c r="BH596" s="132"/>
      <c r="BI596" s="132"/>
      <c r="BJ596" s="132"/>
      <c r="BK596" s="132"/>
      <c r="BL596" s="132"/>
      <c r="BM596" s="132"/>
      <c r="BN596" s="132"/>
      <c r="BO596" s="132"/>
      <c r="BP596" s="132"/>
      <c r="BQ596" s="132"/>
      <c r="BR596" s="132"/>
      <c r="BS596" s="132"/>
      <c r="BT596" s="132"/>
      <c r="BU596" s="132"/>
      <c r="BV596" s="132"/>
      <c r="BW596" s="132"/>
      <c r="BX596" s="132"/>
      <c r="BY596" s="132"/>
      <c r="BZ596" s="132"/>
      <c r="CA596" s="132"/>
      <c r="CB596" s="132"/>
      <c r="CC596" s="132"/>
      <c r="CD596" s="132"/>
      <c r="CE596" s="132"/>
      <c r="CF596" s="132"/>
      <c r="CG596" s="140"/>
    </row>
    <row r="597" spans="1:85" s="139" customFormat="1" ht="13.9" customHeight="1" x14ac:dyDescent="0.2">
      <c r="A597" s="208" t="s">
        <v>143</v>
      </c>
      <c r="B597" s="202">
        <v>9</v>
      </c>
      <c r="C597" s="203" t="s">
        <v>492</v>
      </c>
      <c r="D597" s="209" t="s">
        <v>763</v>
      </c>
      <c r="E597" s="210"/>
      <c r="F597" s="210">
        <f>40000000-40000000</f>
        <v>0</v>
      </c>
      <c r="G597" s="210"/>
      <c r="H597" s="209" t="s">
        <v>706</v>
      </c>
      <c r="I597" s="203" t="s">
        <v>571</v>
      </c>
      <c r="J597" s="202">
        <v>3</v>
      </c>
      <c r="K597" s="202">
        <v>3</v>
      </c>
      <c r="L597" s="202">
        <v>9</v>
      </c>
      <c r="M597" s="185">
        <f t="shared" si="140"/>
        <v>1</v>
      </c>
      <c r="N597" s="193" t="s">
        <v>36</v>
      </c>
      <c r="O597" s="194" t="s">
        <v>256</v>
      </c>
      <c r="P597" s="211">
        <f t="shared" si="144"/>
        <v>1</v>
      </c>
      <c r="Q597" s="196">
        <f t="shared" si="128"/>
        <v>0</v>
      </c>
      <c r="R597" s="196">
        <f t="shared" si="129"/>
        <v>0</v>
      </c>
      <c r="S597" s="201" t="s">
        <v>217</v>
      </c>
      <c r="T597" s="211">
        <f t="shared" si="145"/>
        <v>0</v>
      </c>
      <c r="U597" s="198" t="str">
        <f t="shared" si="141"/>
        <v>SUBDIRECCION DE GESTION CONTRACTUAL</v>
      </c>
      <c r="V597" s="211" t="str">
        <f t="shared" si="142"/>
        <v>CO-DC</v>
      </c>
      <c r="W597" s="211" t="str">
        <f t="shared" si="143"/>
        <v>Distrito Capital de Bogotá</v>
      </c>
      <c r="X597" s="209" t="s">
        <v>1006</v>
      </c>
      <c r="Y597" s="202">
        <v>2427401</v>
      </c>
      <c r="Z597" s="127" t="s">
        <v>1007</v>
      </c>
      <c r="AA597" s="134"/>
      <c r="AB597" s="134"/>
      <c r="AC597" s="134"/>
      <c r="AD597" s="134"/>
      <c r="AE597" s="134"/>
      <c r="AF597" s="134"/>
      <c r="AG597" s="134"/>
      <c r="AH597" s="134"/>
      <c r="AI597" s="134"/>
      <c r="AJ597" s="134"/>
      <c r="AK597" s="134"/>
      <c r="AL597" s="134"/>
      <c r="AM597" s="134"/>
      <c r="AN597" s="134"/>
      <c r="AO597" s="134"/>
      <c r="AP597" s="134"/>
      <c r="AQ597" s="134"/>
      <c r="AR597" s="134"/>
      <c r="AS597" s="134"/>
      <c r="AT597" s="134"/>
      <c r="AU597" s="132"/>
      <c r="AV597" s="132"/>
      <c r="AW597" s="132"/>
      <c r="AX597" s="132"/>
      <c r="AY597" s="132"/>
      <c r="AZ597" s="132"/>
      <c r="BA597" s="132"/>
      <c r="BB597" s="132"/>
      <c r="BC597" s="132"/>
      <c r="BD597" s="132"/>
      <c r="BE597" s="132"/>
      <c r="BF597" s="132"/>
      <c r="BG597" s="132"/>
      <c r="BH597" s="132"/>
      <c r="BI597" s="132"/>
      <c r="BJ597" s="132"/>
      <c r="BK597" s="132"/>
      <c r="BL597" s="132"/>
      <c r="BM597" s="132"/>
      <c r="BN597" s="132"/>
      <c r="BO597" s="132"/>
      <c r="BP597" s="132"/>
      <c r="BQ597" s="132"/>
      <c r="BR597" s="132"/>
      <c r="BS597" s="132"/>
      <c r="BT597" s="132"/>
      <c r="BU597" s="132"/>
      <c r="BV597" s="132"/>
      <c r="BW597" s="132"/>
      <c r="BX597" s="132"/>
      <c r="BY597" s="132"/>
      <c r="BZ597" s="132"/>
      <c r="CA597" s="132"/>
      <c r="CB597" s="132"/>
      <c r="CC597" s="132"/>
      <c r="CD597" s="132"/>
      <c r="CE597" s="132"/>
      <c r="CF597" s="132"/>
      <c r="CG597" s="140"/>
    </row>
    <row r="598" spans="1:85" s="139" customFormat="1" ht="13.9" customHeight="1" x14ac:dyDescent="0.2">
      <c r="A598" s="208" t="s">
        <v>143</v>
      </c>
      <c r="B598" s="202">
        <v>10</v>
      </c>
      <c r="C598" s="203" t="s">
        <v>493</v>
      </c>
      <c r="D598" s="209" t="s">
        <v>763</v>
      </c>
      <c r="E598" s="210"/>
      <c r="F598" s="210">
        <v>325600000</v>
      </c>
      <c r="G598" s="210"/>
      <c r="H598" s="209" t="s">
        <v>794</v>
      </c>
      <c r="I598" s="203" t="s">
        <v>793</v>
      </c>
      <c r="J598" s="202">
        <v>3</v>
      </c>
      <c r="K598" s="202">
        <v>3</v>
      </c>
      <c r="L598" s="202">
        <v>9</v>
      </c>
      <c r="M598" s="185">
        <f t="shared" si="140"/>
        <v>1</v>
      </c>
      <c r="N598" s="193" t="s">
        <v>36</v>
      </c>
      <c r="O598" s="194" t="s">
        <v>256</v>
      </c>
      <c r="P598" s="211">
        <f t="shared" si="144"/>
        <v>1</v>
      </c>
      <c r="Q598" s="196">
        <f t="shared" si="128"/>
        <v>325600000</v>
      </c>
      <c r="R598" s="196">
        <f t="shared" si="129"/>
        <v>325600000</v>
      </c>
      <c r="S598" s="201" t="s">
        <v>217</v>
      </c>
      <c r="T598" s="211">
        <f t="shared" si="145"/>
        <v>0</v>
      </c>
      <c r="U598" s="198" t="str">
        <f t="shared" si="141"/>
        <v>SUBDIRECCION DE GESTION CONTRACTUAL</v>
      </c>
      <c r="V598" s="211" t="str">
        <f t="shared" si="142"/>
        <v>CO-DC</v>
      </c>
      <c r="W598" s="211" t="str">
        <f t="shared" si="143"/>
        <v>Distrito Capital de Bogotá</v>
      </c>
      <c r="X598" s="209" t="s">
        <v>1006</v>
      </c>
      <c r="Y598" s="202">
        <v>2427401</v>
      </c>
      <c r="Z598" s="127" t="s">
        <v>1007</v>
      </c>
      <c r="AA598" s="134"/>
      <c r="AB598" s="134"/>
      <c r="AC598" s="134"/>
      <c r="AD598" s="134"/>
      <c r="AE598" s="134"/>
      <c r="AF598" s="134"/>
      <c r="AG598" s="134"/>
      <c r="AH598" s="134"/>
      <c r="AI598" s="134"/>
      <c r="AJ598" s="134"/>
      <c r="AK598" s="134"/>
      <c r="AL598" s="134"/>
      <c r="AM598" s="134"/>
      <c r="AN598" s="134"/>
      <c r="AO598" s="134"/>
      <c r="AP598" s="134"/>
      <c r="AQ598" s="134"/>
      <c r="AR598" s="134"/>
      <c r="AS598" s="134"/>
      <c r="AT598" s="134"/>
      <c r="AU598" s="132"/>
      <c r="AV598" s="132"/>
      <c r="AW598" s="132"/>
      <c r="AX598" s="132"/>
      <c r="AY598" s="132"/>
      <c r="AZ598" s="132"/>
      <c r="BA598" s="132"/>
      <c r="BB598" s="132"/>
      <c r="BC598" s="132"/>
      <c r="BD598" s="132"/>
      <c r="BE598" s="132"/>
      <c r="BF598" s="132"/>
      <c r="BG598" s="132"/>
      <c r="BH598" s="132"/>
      <c r="BI598" s="132"/>
      <c r="BJ598" s="132"/>
      <c r="BK598" s="132"/>
      <c r="BL598" s="132"/>
      <c r="BM598" s="132"/>
      <c r="BN598" s="132"/>
      <c r="BO598" s="132"/>
      <c r="BP598" s="132"/>
      <c r="BQ598" s="132"/>
      <c r="BR598" s="132"/>
      <c r="BS598" s="132"/>
      <c r="BT598" s="132"/>
      <c r="BU598" s="132"/>
      <c r="BV598" s="132"/>
      <c r="BW598" s="132"/>
      <c r="BX598" s="132"/>
      <c r="BY598" s="132"/>
      <c r="BZ598" s="132"/>
      <c r="CA598" s="132"/>
      <c r="CB598" s="132"/>
      <c r="CC598" s="132"/>
      <c r="CD598" s="132"/>
      <c r="CE598" s="132"/>
      <c r="CF598" s="132"/>
      <c r="CG598" s="140"/>
    </row>
    <row r="599" spans="1:85" s="139" customFormat="1" ht="13.9" customHeight="1" x14ac:dyDescent="0.2">
      <c r="A599" s="208" t="s">
        <v>143</v>
      </c>
      <c r="B599" s="202">
        <v>11</v>
      </c>
      <c r="C599" s="203" t="s">
        <v>149</v>
      </c>
      <c r="D599" s="209" t="s">
        <v>169</v>
      </c>
      <c r="E599" s="210"/>
      <c r="F599" s="210">
        <f>4950000000-20000000-45000000+50000000+75750000+134600000</f>
        <v>5145350000</v>
      </c>
      <c r="G599" s="210"/>
      <c r="H599" s="209">
        <v>80111600</v>
      </c>
      <c r="I599" s="203" t="s">
        <v>572</v>
      </c>
      <c r="J599" s="202">
        <v>1</v>
      </c>
      <c r="K599" s="202">
        <v>1</v>
      </c>
      <c r="L599" s="202">
        <v>12</v>
      </c>
      <c r="M599" s="185">
        <f t="shared" si="140"/>
        <v>1</v>
      </c>
      <c r="N599" s="193" t="s">
        <v>210</v>
      </c>
      <c r="O599" s="194" t="s">
        <v>264</v>
      </c>
      <c r="P599" s="211">
        <f t="shared" si="144"/>
        <v>1</v>
      </c>
      <c r="Q599" s="196">
        <f t="shared" ref="Q599:Q662" si="146">+E599+F599+G599</f>
        <v>5145350000</v>
      </c>
      <c r="R599" s="196">
        <f t="shared" ref="R599:R662" si="147">+F599</f>
        <v>5145350000</v>
      </c>
      <c r="S599" s="201" t="s">
        <v>217</v>
      </c>
      <c r="T599" s="211">
        <f t="shared" si="145"/>
        <v>0</v>
      </c>
      <c r="U599" s="198" t="str">
        <f t="shared" si="141"/>
        <v>SUBDIRECCION DE GESTION CONTRACTUAL</v>
      </c>
      <c r="V599" s="211" t="str">
        <f t="shared" si="142"/>
        <v>CO-DC</v>
      </c>
      <c r="W599" s="211" t="str">
        <f t="shared" si="143"/>
        <v>Distrito Capital de Bogotá</v>
      </c>
      <c r="X599" s="209" t="s">
        <v>854</v>
      </c>
      <c r="Y599" s="202">
        <v>2427401</v>
      </c>
      <c r="Z599" s="127" t="s">
        <v>855</v>
      </c>
      <c r="AA599" s="134"/>
      <c r="AB599" s="134"/>
      <c r="AC599" s="134"/>
      <c r="AD599" s="134"/>
      <c r="AE599" s="134"/>
      <c r="AF599" s="134"/>
      <c r="AG599" s="134"/>
      <c r="AH599" s="134"/>
      <c r="AI599" s="134"/>
      <c r="AJ599" s="134"/>
      <c r="AK599" s="134"/>
      <c r="AL599" s="134"/>
      <c r="AM599" s="134"/>
      <c r="AN599" s="134"/>
      <c r="AO599" s="134"/>
      <c r="AP599" s="134"/>
      <c r="AQ599" s="134"/>
      <c r="AR599" s="134"/>
      <c r="AS599" s="134"/>
      <c r="AT599" s="134"/>
      <c r="AU599" s="132"/>
      <c r="AV599" s="132"/>
      <c r="AW599" s="132"/>
      <c r="AX599" s="132"/>
      <c r="AY599" s="132"/>
      <c r="AZ599" s="132"/>
      <c r="BA599" s="132"/>
      <c r="BB599" s="132"/>
      <c r="BC599" s="132"/>
      <c r="BD599" s="132"/>
      <c r="BE599" s="132"/>
      <c r="BF599" s="132"/>
      <c r="BG599" s="132"/>
      <c r="BH599" s="132"/>
      <c r="BI599" s="132"/>
      <c r="BJ599" s="132"/>
      <c r="BK599" s="132"/>
      <c r="BL599" s="132"/>
      <c r="BM599" s="132"/>
      <c r="BN599" s="132"/>
      <c r="BO599" s="132"/>
      <c r="BP599" s="132"/>
      <c r="BQ599" s="132"/>
      <c r="BR599" s="132"/>
      <c r="BS599" s="132"/>
      <c r="BT599" s="132"/>
      <c r="BU599" s="132"/>
      <c r="BV599" s="132"/>
      <c r="BW599" s="132"/>
      <c r="BX599" s="132"/>
      <c r="BY599" s="132"/>
      <c r="BZ599" s="132"/>
      <c r="CA599" s="132"/>
      <c r="CB599" s="132"/>
      <c r="CC599" s="132"/>
      <c r="CD599" s="132"/>
      <c r="CE599" s="132"/>
      <c r="CF599" s="132"/>
      <c r="CG599" s="140"/>
    </row>
    <row r="600" spans="1:85" s="139" customFormat="1" ht="13.9" customHeight="1" x14ac:dyDescent="0.2">
      <c r="A600" s="208" t="s">
        <v>143</v>
      </c>
      <c r="B600" s="202">
        <v>12</v>
      </c>
      <c r="C600" s="203" t="s">
        <v>149</v>
      </c>
      <c r="D600" s="209" t="s">
        <v>169</v>
      </c>
      <c r="E600" s="210"/>
      <c r="F600" s="210">
        <v>80000000</v>
      </c>
      <c r="G600" s="210"/>
      <c r="H600" s="209" t="s">
        <v>251</v>
      </c>
      <c r="I600" s="203" t="s">
        <v>1005</v>
      </c>
      <c r="J600" s="202">
        <v>8</v>
      </c>
      <c r="K600" s="202">
        <v>7</v>
      </c>
      <c r="L600" s="202">
        <v>9</v>
      </c>
      <c r="M600" s="185">
        <f t="shared" si="140"/>
        <v>1</v>
      </c>
      <c r="N600" s="193" t="s">
        <v>43</v>
      </c>
      <c r="O600" s="194" t="s">
        <v>44</v>
      </c>
      <c r="P600" s="211">
        <f t="shared" si="144"/>
        <v>1</v>
      </c>
      <c r="Q600" s="196">
        <f t="shared" si="146"/>
        <v>80000000</v>
      </c>
      <c r="R600" s="196">
        <f t="shared" si="147"/>
        <v>80000000</v>
      </c>
      <c r="S600" s="201" t="s">
        <v>217</v>
      </c>
      <c r="T600" s="211">
        <f t="shared" si="145"/>
        <v>0</v>
      </c>
      <c r="U600" s="198" t="str">
        <f t="shared" si="141"/>
        <v>SUBDIRECCION DE GESTION CONTRACTUAL</v>
      </c>
      <c r="V600" s="211" t="str">
        <f t="shared" si="142"/>
        <v>CO-DC</v>
      </c>
      <c r="W600" s="211" t="str">
        <f t="shared" si="143"/>
        <v>Distrito Capital de Bogotá</v>
      </c>
      <c r="X600" s="209" t="s">
        <v>73</v>
      </c>
      <c r="Y600" s="202">
        <v>2427400</v>
      </c>
      <c r="Z600" s="212" t="s">
        <v>74</v>
      </c>
      <c r="AA600" s="134"/>
      <c r="AB600" s="134"/>
      <c r="AC600" s="134"/>
      <c r="AD600" s="134"/>
      <c r="AE600" s="134"/>
      <c r="AF600" s="134"/>
      <c r="AG600" s="134"/>
      <c r="AH600" s="134"/>
      <c r="AI600" s="134"/>
      <c r="AJ600" s="134"/>
      <c r="AK600" s="134"/>
      <c r="AL600" s="134"/>
      <c r="AM600" s="134"/>
      <c r="AN600" s="134"/>
      <c r="AO600" s="134"/>
      <c r="AP600" s="134"/>
      <c r="AQ600" s="134"/>
      <c r="AR600" s="134"/>
      <c r="AS600" s="134"/>
      <c r="AT600" s="134"/>
      <c r="AU600" s="132"/>
      <c r="AV600" s="132"/>
      <c r="AW600" s="132"/>
      <c r="AX600" s="132"/>
      <c r="AY600" s="132"/>
      <c r="AZ600" s="132"/>
      <c r="BA600" s="132"/>
      <c r="BB600" s="132"/>
      <c r="BC600" s="132"/>
      <c r="BD600" s="132"/>
      <c r="BE600" s="132"/>
      <c r="BF600" s="132"/>
      <c r="BG600" s="132"/>
      <c r="BH600" s="132"/>
      <c r="BI600" s="132"/>
      <c r="BJ600" s="132"/>
      <c r="BK600" s="132"/>
      <c r="BL600" s="132"/>
      <c r="BM600" s="132"/>
      <c r="BN600" s="132"/>
      <c r="BO600" s="132"/>
      <c r="BP600" s="132"/>
      <c r="BQ600" s="132"/>
      <c r="BR600" s="132"/>
      <c r="BS600" s="132"/>
      <c r="BT600" s="132"/>
      <c r="BU600" s="132"/>
      <c r="BV600" s="132"/>
      <c r="BW600" s="132"/>
      <c r="BX600" s="132"/>
      <c r="BY600" s="132"/>
      <c r="BZ600" s="132"/>
      <c r="CA600" s="132"/>
      <c r="CB600" s="132"/>
      <c r="CC600" s="132"/>
      <c r="CD600" s="132"/>
      <c r="CE600" s="132"/>
      <c r="CF600" s="132"/>
      <c r="CG600" s="140"/>
    </row>
    <row r="601" spans="1:85" s="139" customFormat="1" ht="13.9" customHeight="1" x14ac:dyDescent="0.2">
      <c r="A601" s="208" t="s">
        <v>143</v>
      </c>
      <c r="B601" s="202">
        <v>13</v>
      </c>
      <c r="C601" s="203" t="s">
        <v>149</v>
      </c>
      <c r="D601" s="209" t="s">
        <v>169</v>
      </c>
      <c r="E601" s="210"/>
      <c r="F601" s="210">
        <f>100000000-100000000</f>
        <v>0</v>
      </c>
      <c r="G601" s="210"/>
      <c r="H601" s="188" t="s">
        <v>230</v>
      </c>
      <c r="I601" s="203" t="s">
        <v>564</v>
      </c>
      <c r="J601" s="206">
        <v>3</v>
      </c>
      <c r="K601" s="206">
        <v>4</v>
      </c>
      <c r="L601" s="206">
        <v>8</v>
      </c>
      <c r="M601" s="185">
        <f t="shared" si="140"/>
        <v>1</v>
      </c>
      <c r="N601" s="193" t="s">
        <v>53</v>
      </c>
      <c r="O601" s="194" t="s">
        <v>54</v>
      </c>
      <c r="P601" s="211">
        <f t="shared" si="144"/>
        <v>1</v>
      </c>
      <c r="Q601" s="196">
        <f t="shared" si="146"/>
        <v>0</v>
      </c>
      <c r="R601" s="196">
        <f t="shared" si="147"/>
        <v>0</v>
      </c>
      <c r="S601" s="201" t="s">
        <v>217</v>
      </c>
      <c r="T601" s="211">
        <f t="shared" si="145"/>
        <v>0</v>
      </c>
      <c r="U601" s="198" t="str">
        <f t="shared" si="141"/>
        <v>SUBDIRECCION DE GESTION CONTRACTUAL</v>
      </c>
      <c r="V601" s="211" t="str">
        <f t="shared" si="142"/>
        <v>CO-DC</v>
      </c>
      <c r="W601" s="211" t="str">
        <f t="shared" si="143"/>
        <v>Distrito Capital de Bogotá</v>
      </c>
      <c r="X601" s="209" t="s">
        <v>76</v>
      </c>
      <c r="Y601" s="202">
        <v>2427400</v>
      </c>
      <c r="Z601" s="212" t="s">
        <v>77</v>
      </c>
      <c r="AA601" s="134"/>
      <c r="AB601" s="134"/>
      <c r="AC601" s="134"/>
      <c r="AD601" s="134"/>
      <c r="AE601" s="134"/>
      <c r="AF601" s="134"/>
      <c r="AG601" s="134"/>
      <c r="AH601" s="134"/>
      <c r="AI601" s="134"/>
      <c r="AJ601" s="134"/>
      <c r="AK601" s="134"/>
      <c r="AL601" s="134"/>
      <c r="AM601" s="134"/>
      <c r="AN601" s="134"/>
      <c r="AO601" s="134"/>
      <c r="AP601" s="134"/>
      <c r="AQ601" s="134"/>
      <c r="AR601" s="134"/>
      <c r="AS601" s="134"/>
      <c r="AT601" s="134"/>
      <c r="AU601" s="132"/>
      <c r="AV601" s="132"/>
      <c r="AW601" s="132"/>
      <c r="AX601" s="132"/>
      <c r="AY601" s="132"/>
      <c r="AZ601" s="132"/>
      <c r="BA601" s="132"/>
      <c r="BB601" s="132"/>
      <c r="BC601" s="132"/>
      <c r="BD601" s="132"/>
      <c r="BE601" s="132"/>
      <c r="BF601" s="132"/>
      <c r="BG601" s="132"/>
      <c r="BH601" s="132"/>
      <c r="BI601" s="132"/>
      <c r="BJ601" s="132"/>
      <c r="BK601" s="132"/>
      <c r="BL601" s="132"/>
      <c r="BM601" s="132"/>
      <c r="BN601" s="132"/>
      <c r="BO601" s="132"/>
      <c r="BP601" s="132"/>
      <c r="BQ601" s="132"/>
      <c r="BR601" s="132"/>
      <c r="BS601" s="132"/>
      <c r="BT601" s="132"/>
      <c r="BU601" s="132"/>
      <c r="BV601" s="132"/>
      <c r="BW601" s="132"/>
      <c r="BX601" s="132"/>
      <c r="BY601" s="132"/>
      <c r="BZ601" s="132"/>
      <c r="CA601" s="132"/>
      <c r="CB601" s="132"/>
      <c r="CC601" s="132"/>
      <c r="CD601" s="132"/>
      <c r="CE601" s="132"/>
      <c r="CF601" s="132"/>
      <c r="CG601" s="140"/>
    </row>
    <row r="602" spans="1:85" s="139" customFormat="1" ht="13.9" customHeight="1" x14ac:dyDescent="0.2">
      <c r="A602" s="208" t="s">
        <v>143</v>
      </c>
      <c r="B602" s="202">
        <v>14</v>
      </c>
      <c r="C602" s="203" t="s">
        <v>149</v>
      </c>
      <c r="D602" s="209" t="s">
        <v>169</v>
      </c>
      <c r="E602" s="210"/>
      <c r="F602" s="210">
        <v>100000000</v>
      </c>
      <c r="G602" s="210"/>
      <c r="H602" s="209" t="s">
        <v>494</v>
      </c>
      <c r="I602" s="203" t="s">
        <v>568</v>
      </c>
      <c r="J602" s="202">
        <v>3</v>
      </c>
      <c r="K602" s="202">
        <v>3</v>
      </c>
      <c r="L602" s="202">
        <v>5</v>
      </c>
      <c r="M602" s="185">
        <f t="shared" si="140"/>
        <v>1</v>
      </c>
      <c r="N602" s="193" t="s">
        <v>53</v>
      </c>
      <c r="O602" s="194" t="s">
        <v>54</v>
      </c>
      <c r="P602" s="211">
        <f t="shared" si="144"/>
        <v>1</v>
      </c>
      <c r="Q602" s="196">
        <f t="shared" si="146"/>
        <v>100000000</v>
      </c>
      <c r="R602" s="196">
        <f t="shared" si="147"/>
        <v>100000000</v>
      </c>
      <c r="S602" s="201" t="s">
        <v>217</v>
      </c>
      <c r="T602" s="211">
        <f t="shared" si="145"/>
        <v>0</v>
      </c>
      <c r="U602" s="198" t="str">
        <f t="shared" si="141"/>
        <v>SUBDIRECCION DE GESTION CONTRACTUAL</v>
      </c>
      <c r="V602" s="211" t="str">
        <f t="shared" si="142"/>
        <v>CO-DC</v>
      </c>
      <c r="W602" s="211" t="str">
        <f t="shared" si="143"/>
        <v>Distrito Capital de Bogotá</v>
      </c>
      <c r="X602" s="209" t="s">
        <v>1006</v>
      </c>
      <c r="Y602" s="202">
        <v>2427401</v>
      </c>
      <c r="Z602" s="127" t="s">
        <v>1007</v>
      </c>
      <c r="AA602" s="134"/>
      <c r="AB602" s="134"/>
      <c r="AC602" s="134"/>
      <c r="AD602" s="134"/>
      <c r="AE602" s="134"/>
      <c r="AF602" s="134"/>
      <c r="AG602" s="134"/>
      <c r="AH602" s="134"/>
      <c r="AI602" s="134"/>
      <c r="AJ602" s="134"/>
      <c r="AK602" s="134"/>
      <c r="AL602" s="134"/>
      <c r="AM602" s="134"/>
      <c r="AN602" s="134"/>
      <c r="AO602" s="134"/>
      <c r="AP602" s="134"/>
      <c r="AQ602" s="134"/>
      <c r="AR602" s="134"/>
      <c r="AS602" s="134"/>
      <c r="AT602" s="134"/>
      <c r="AU602" s="132"/>
      <c r="AV602" s="132"/>
      <c r="AW602" s="132"/>
      <c r="AX602" s="132"/>
      <c r="AY602" s="132"/>
      <c r="AZ602" s="132"/>
      <c r="BA602" s="132"/>
      <c r="BB602" s="132"/>
      <c r="BC602" s="132"/>
      <c r="BD602" s="132"/>
      <c r="BE602" s="132"/>
      <c r="BF602" s="132"/>
      <c r="BG602" s="132"/>
      <c r="BH602" s="132"/>
      <c r="BI602" s="132"/>
      <c r="BJ602" s="132"/>
      <c r="BK602" s="132"/>
      <c r="BL602" s="132"/>
      <c r="BM602" s="132"/>
      <c r="BN602" s="132"/>
      <c r="BO602" s="132"/>
      <c r="BP602" s="132"/>
      <c r="BQ602" s="132"/>
      <c r="BR602" s="132"/>
      <c r="BS602" s="132"/>
      <c r="BT602" s="132"/>
      <c r="BU602" s="132"/>
      <c r="BV602" s="132"/>
      <c r="BW602" s="132"/>
      <c r="BX602" s="132"/>
      <c r="BY602" s="132"/>
      <c r="BZ602" s="132"/>
      <c r="CA602" s="132"/>
      <c r="CB602" s="132"/>
      <c r="CC602" s="132"/>
      <c r="CD602" s="132"/>
      <c r="CE602" s="132"/>
      <c r="CF602" s="132"/>
      <c r="CG602" s="140"/>
    </row>
    <row r="603" spans="1:85" s="139" customFormat="1" ht="13.9" customHeight="1" x14ac:dyDescent="0.2">
      <c r="A603" s="208" t="s">
        <v>143</v>
      </c>
      <c r="B603" s="202">
        <v>15</v>
      </c>
      <c r="C603" s="203" t="s">
        <v>487</v>
      </c>
      <c r="D603" s="209" t="s">
        <v>147</v>
      </c>
      <c r="E603" s="210"/>
      <c r="F603" s="210">
        <v>89900000</v>
      </c>
      <c r="G603" s="210"/>
      <c r="H603" s="188" t="s">
        <v>710</v>
      </c>
      <c r="I603" s="203" t="s">
        <v>540</v>
      </c>
      <c r="J603" s="206">
        <v>1</v>
      </c>
      <c r="K603" s="206">
        <v>2</v>
      </c>
      <c r="L603" s="206">
        <v>3</v>
      </c>
      <c r="M603" s="185">
        <f t="shared" si="140"/>
        <v>1</v>
      </c>
      <c r="N603" s="193" t="s">
        <v>36</v>
      </c>
      <c r="O603" s="194" t="s">
        <v>256</v>
      </c>
      <c r="P603" s="211">
        <v>1</v>
      </c>
      <c r="Q603" s="196">
        <f t="shared" si="146"/>
        <v>89900000</v>
      </c>
      <c r="R603" s="196">
        <f t="shared" si="147"/>
        <v>89900000</v>
      </c>
      <c r="S603" s="201" t="s">
        <v>217</v>
      </c>
      <c r="T603" s="211">
        <v>0</v>
      </c>
      <c r="U603" s="198" t="str">
        <f t="shared" si="141"/>
        <v>SUBDIRECCION DE GESTION CONTRACTUAL</v>
      </c>
      <c r="V603" s="211" t="str">
        <f t="shared" si="142"/>
        <v>CO-DC</v>
      </c>
      <c r="W603" s="211" t="str">
        <f t="shared" si="143"/>
        <v>Distrito Capital de Bogotá</v>
      </c>
      <c r="X603" s="209" t="s">
        <v>1006</v>
      </c>
      <c r="Y603" s="202">
        <v>2427401</v>
      </c>
      <c r="Z603" s="127" t="s">
        <v>1007</v>
      </c>
      <c r="AA603" s="134"/>
      <c r="AB603" s="134"/>
      <c r="AC603" s="134"/>
      <c r="AD603" s="134"/>
      <c r="AE603" s="134"/>
      <c r="AF603" s="134"/>
      <c r="AG603" s="134"/>
      <c r="AH603" s="134"/>
      <c r="AI603" s="134"/>
      <c r="AJ603" s="134"/>
      <c r="AK603" s="134"/>
      <c r="AL603" s="134"/>
      <c r="AM603" s="134"/>
      <c r="AN603" s="134"/>
      <c r="AO603" s="134"/>
      <c r="AP603" s="134"/>
      <c r="AQ603" s="134"/>
      <c r="AR603" s="134"/>
      <c r="AS603" s="134"/>
      <c r="AT603" s="134"/>
      <c r="AU603" s="132"/>
      <c r="AV603" s="132"/>
      <c r="AW603" s="132"/>
      <c r="AX603" s="132"/>
      <c r="AY603" s="132"/>
      <c r="AZ603" s="132"/>
      <c r="BA603" s="132"/>
      <c r="BB603" s="132"/>
      <c r="BC603" s="132"/>
      <c r="BD603" s="132"/>
      <c r="BE603" s="132"/>
      <c r="BF603" s="132"/>
      <c r="BG603" s="132"/>
      <c r="BH603" s="132"/>
      <c r="BI603" s="132"/>
      <c r="BJ603" s="132"/>
      <c r="BK603" s="132"/>
      <c r="BL603" s="132"/>
      <c r="BM603" s="132"/>
      <c r="BN603" s="132"/>
      <c r="BO603" s="132"/>
      <c r="BP603" s="132"/>
      <c r="BQ603" s="132"/>
      <c r="BR603" s="132"/>
      <c r="BS603" s="132"/>
      <c r="BT603" s="132"/>
      <c r="BU603" s="132"/>
      <c r="BV603" s="132"/>
      <c r="BW603" s="132"/>
      <c r="BX603" s="132"/>
      <c r="BY603" s="132"/>
      <c r="BZ603" s="132"/>
      <c r="CA603" s="132"/>
      <c r="CB603" s="132"/>
      <c r="CC603" s="132"/>
      <c r="CD603" s="132"/>
      <c r="CE603" s="132"/>
      <c r="CF603" s="132"/>
      <c r="CG603" s="140"/>
    </row>
    <row r="604" spans="1:85" s="139" customFormat="1" ht="13.9" customHeight="1" x14ac:dyDescent="0.2">
      <c r="A604" s="208" t="s">
        <v>143</v>
      </c>
      <c r="B604" s="202">
        <v>16</v>
      </c>
      <c r="C604" s="203" t="s">
        <v>149</v>
      </c>
      <c r="D604" s="209" t="s">
        <v>169</v>
      </c>
      <c r="E604" s="210"/>
      <c r="F604" s="210">
        <v>350000000</v>
      </c>
      <c r="G604" s="210"/>
      <c r="H604" s="188" t="s">
        <v>710</v>
      </c>
      <c r="I604" s="203" t="s">
        <v>540</v>
      </c>
      <c r="J604" s="190">
        <v>2</v>
      </c>
      <c r="K604" s="191">
        <v>3</v>
      </c>
      <c r="L604" s="192">
        <v>9</v>
      </c>
      <c r="M604" s="185">
        <f t="shared" si="140"/>
        <v>1</v>
      </c>
      <c r="N604" s="193" t="s">
        <v>221</v>
      </c>
      <c r="O604" s="194" t="s">
        <v>903</v>
      </c>
      <c r="P604" s="211">
        <f>IF(ISBLANK(N604),"",1)</f>
        <v>1</v>
      </c>
      <c r="Q604" s="196">
        <f t="shared" si="146"/>
        <v>350000000</v>
      </c>
      <c r="R604" s="196">
        <f t="shared" si="147"/>
        <v>350000000</v>
      </c>
      <c r="S604" s="201" t="s">
        <v>217</v>
      </c>
      <c r="T604" s="211">
        <f>IF(ISBLANK(S604),"",IF(VALUE(S604)=0,0,IF(VALUE(S604)=1,3,"")))</f>
        <v>0</v>
      </c>
      <c r="U604" s="198" t="str">
        <f t="shared" si="141"/>
        <v>SUBDIRECCION DE GESTION CONTRACTUAL</v>
      </c>
      <c r="V604" s="211" t="str">
        <f t="shared" si="142"/>
        <v>CO-DC</v>
      </c>
      <c r="W604" s="211" t="str">
        <f t="shared" si="143"/>
        <v>Distrito Capital de Bogotá</v>
      </c>
      <c r="X604" s="209" t="s">
        <v>1006</v>
      </c>
      <c r="Y604" s="202">
        <v>2427401</v>
      </c>
      <c r="Z604" s="127" t="s">
        <v>1007</v>
      </c>
      <c r="AA604" s="134"/>
      <c r="AB604" s="134"/>
      <c r="AC604" s="134"/>
      <c r="AD604" s="134"/>
      <c r="AE604" s="134"/>
      <c r="AF604" s="134"/>
      <c r="AG604" s="134"/>
      <c r="AH604" s="134"/>
      <c r="AI604" s="134"/>
      <c r="AJ604" s="134"/>
      <c r="AK604" s="134"/>
      <c r="AL604" s="134"/>
      <c r="AM604" s="134"/>
      <c r="AN604" s="134"/>
      <c r="AO604" s="134"/>
      <c r="AP604" s="134"/>
      <c r="AQ604" s="134"/>
      <c r="AR604" s="134"/>
      <c r="AS604" s="134"/>
      <c r="AT604" s="134"/>
      <c r="AU604" s="132"/>
      <c r="AV604" s="132"/>
      <c r="AW604" s="132"/>
      <c r="AX604" s="132"/>
      <c r="AY604" s="132"/>
      <c r="AZ604" s="132"/>
      <c r="BA604" s="132"/>
      <c r="BB604" s="132"/>
      <c r="BC604" s="132"/>
      <c r="BD604" s="132"/>
      <c r="BE604" s="132"/>
      <c r="BF604" s="132"/>
      <c r="BG604" s="132"/>
      <c r="BH604" s="132"/>
      <c r="BI604" s="132"/>
      <c r="BJ604" s="132"/>
      <c r="BK604" s="132"/>
      <c r="BL604" s="132"/>
      <c r="BM604" s="132"/>
      <c r="BN604" s="132"/>
      <c r="BO604" s="132"/>
      <c r="BP604" s="132"/>
      <c r="BQ604" s="132"/>
      <c r="BR604" s="132"/>
      <c r="BS604" s="132"/>
      <c r="BT604" s="132"/>
      <c r="BU604" s="132"/>
      <c r="BV604" s="132"/>
      <c r="BW604" s="132"/>
      <c r="BX604" s="132"/>
      <c r="BY604" s="132"/>
      <c r="BZ604" s="132"/>
      <c r="CA604" s="132"/>
      <c r="CB604" s="132"/>
      <c r="CC604" s="132"/>
      <c r="CD604" s="132"/>
      <c r="CE604" s="132"/>
      <c r="CF604" s="132"/>
      <c r="CG604" s="140"/>
    </row>
    <row r="605" spans="1:85" s="139" customFormat="1" ht="13.9" customHeight="1" x14ac:dyDescent="0.2">
      <c r="A605" s="208" t="s">
        <v>143</v>
      </c>
      <c r="B605" s="202">
        <v>17</v>
      </c>
      <c r="C605" s="203" t="s">
        <v>149</v>
      </c>
      <c r="D605" s="209" t="s">
        <v>169</v>
      </c>
      <c r="E605" s="210">
        <v>53496880</v>
      </c>
      <c r="F605" s="210">
        <f>150000000+45000000-53496880</f>
        <v>141503120</v>
      </c>
      <c r="G605" s="210"/>
      <c r="H605" s="188" t="s">
        <v>42</v>
      </c>
      <c r="I605" s="203" t="s">
        <v>543</v>
      </c>
      <c r="J605" s="190">
        <v>3</v>
      </c>
      <c r="K605" s="191">
        <v>4</v>
      </c>
      <c r="L605" s="192">
        <v>9</v>
      </c>
      <c r="M605" s="185">
        <f t="shared" si="140"/>
        <v>1</v>
      </c>
      <c r="N605" s="193" t="s">
        <v>61</v>
      </c>
      <c r="O605" s="194" t="s">
        <v>902</v>
      </c>
      <c r="P605" s="211">
        <f>IF(ISBLANK(N605),"",1)</f>
        <v>1</v>
      </c>
      <c r="Q605" s="196">
        <f t="shared" si="146"/>
        <v>195000000</v>
      </c>
      <c r="R605" s="196">
        <f t="shared" si="147"/>
        <v>141503120</v>
      </c>
      <c r="S605" s="201" t="s">
        <v>217</v>
      </c>
      <c r="T605" s="211">
        <f>IF(ISBLANK(S605),"",IF(VALUE(S605)=0,0,IF(VALUE(S605)=1,3,"")))</f>
        <v>0</v>
      </c>
      <c r="U605" s="198" t="str">
        <f t="shared" si="141"/>
        <v>SUBDIRECCION DE GESTION CONTRACTUAL</v>
      </c>
      <c r="V605" s="185" t="str">
        <f t="shared" si="142"/>
        <v>CO-DC</v>
      </c>
      <c r="W605" s="198" t="str">
        <f t="shared" si="143"/>
        <v>Distrito Capital de Bogotá</v>
      </c>
      <c r="X605" s="199" t="s">
        <v>321</v>
      </c>
      <c r="Y605" s="202">
        <v>2427400</v>
      </c>
      <c r="Z605" s="212" t="s">
        <v>75</v>
      </c>
      <c r="AA605" s="134"/>
      <c r="AB605" s="134"/>
      <c r="AC605" s="134"/>
      <c r="AD605" s="134"/>
      <c r="AE605" s="134"/>
      <c r="AF605" s="134"/>
      <c r="AG605" s="134"/>
      <c r="AH605" s="134"/>
      <c r="AI605" s="134"/>
      <c r="AJ605" s="134"/>
      <c r="AK605" s="134"/>
      <c r="AL605" s="134"/>
      <c r="AM605" s="134"/>
      <c r="AN605" s="134"/>
      <c r="AO605" s="134"/>
      <c r="AP605" s="134"/>
      <c r="AQ605" s="134"/>
      <c r="AR605" s="134"/>
      <c r="AS605" s="134"/>
      <c r="AT605" s="134"/>
      <c r="AU605" s="132"/>
      <c r="AV605" s="132"/>
      <c r="AW605" s="132"/>
      <c r="AX605" s="132"/>
      <c r="AY605" s="132"/>
      <c r="AZ605" s="132"/>
      <c r="BA605" s="132"/>
      <c r="BB605" s="132"/>
      <c r="BC605" s="132"/>
      <c r="BD605" s="132"/>
      <c r="BE605" s="132"/>
      <c r="BF605" s="132"/>
      <c r="BG605" s="132"/>
      <c r="BH605" s="132"/>
      <c r="BI605" s="132"/>
      <c r="BJ605" s="132"/>
      <c r="BK605" s="132"/>
      <c r="BL605" s="132"/>
      <c r="BM605" s="132"/>
      <c r="BN605" s="132"/>
      <c r="BO605" s="132"/>
      <c r="BP605" s="132"/>
      <c r="BQ605" s="132"/>
      <c r="BR605" s="132"/>
      <c r="BS605" s="132"/>
      <c r="BT605" s="132"/>
      <c r="BU605" s="132"/>
      <c r="BV605" s="132"/>
      <c r="BW605" s="132"/>
      <c r="BX605" s="132"/>
      <c r="BY605" s="132"/>
      <c r="BZ605" s="132"/>
      <c r="CA605" s="132"/>
      <c r="CB605" s="132"/>
      <c r="CC605" s="132"/>
      <c r="CD605" s="132"/>
      <c r="CE605" s="132"/>
      <c r="CF605" s="132"/>
      <c r="CG605" s="140"/>
    </row>
    <row r="606" spans="1:85" s="139" customFormat="1" ht="13.9" customHeight="1" x14ac:dyDescent="0.2">
      <c r="A606" s="208" t="s">
        <v>143</v>
      </c>
      <c r="B606" s="202">
        <v>18</v>
      </c>
      <c r="C606" s="203" t="s">
        <v>149</v>
      </c>
      <c r="D606" s="209" t="s">
        <v>169</v>
      </c>
      <c r="E606" s="210"/>
      <c r="F606" s="210">
        <f>100000000+20000000</f>
        <v>120000000</v>
      </c>
      <c r="G606" s="210"/>
      <c r="H606" s="188" t="s">
        <v>101</v>
      </c>
      <c r="I606" s="203" t="s">
        <v>554</v>
      </c>
      <c r="J606" s="190">
        <v>2</v>
      </c>
      <c r="K606" s="191">
        <v>3</v>
      </c>
      <c r="L606" s="192">
        <v>10</v>
      </c>
      <c r="M606" s="185">
        <f t="shared" si="140"/>
        <v>1</v>
      </c>
      <c r="N606" s="193" t="s">
        <v>36</v>
      </c>
      <c r="O606" s="194" t="s">
        <v>256</v>
      </c>
      <c r="P606" s="211">
        <v>1</v>
      </c>
      <c r="Q606" s="196">
        <f t="shared" si="146"/>
        <v>120000000</v>
      </c>
      <c r="R606" s="196">
        <f t="shared" si="147"/>
        <v>120000000</v>
      </c>
      <c r="S606" s="201" t="s">
        <v>218</v>
      </c>
      <c r="T606" s="211">
        <v>3</v>
      </c>
      <c r="U606" s="198" t="str">
        <f t="shared" si="141"/>
        <v>SUBDIRECCION DE GESTION CONTRACTUAL</v>
      </c>
      <c r="V606" s="211" t="s">
        <v>39</v>
      </c>
      <c r="W606" s="211" t="s">
        <v>38</v>
      </c>
      <c r="X606" s="209" t="s">
        <v>1006</v>
      </c>
      <c r="Y606" s="202">
        <v>2427401</v>
      </c>
      <c r="Z606" s="127" t="s">
        <v>1007</v>
      </c>
      <c r="AA606" s="134"/>
      <c r="AB606" s="134"/>
      <c r="AC606" s="134"/>
      <c r="AD606" s="134"/>
      <c r="AE606" s="134"/>
      <c r="AF606" s="134"/>
      <c r="AG606" s="134"/>
      <c r="AH606" s="134"/>
      <c r="AI606" s="134"/>
      <c r="AJ606" s="134"/>
      <c r="AK606" s="134"/>
      <c r="AL606" s="134"/>
      <c r="AM606" s="134"/>
      <c r="AN606" s="134"/>
      <c r="AO606" s="134"/>
      <c r="AP606" s="134"/>
      <c r="AQ606" s="134"/>
      <c r="AR606" s="134"/>
      <c r="AS606" s="134"/>
      <c r="AT606" s="134"/>
      <c r="AU606" s="132"/>
      <c r="AV606" s="132"/>
      <c r="AW606" s="132"/>
      <c r="AX606" s="132"/>
      <c r="AY606" s="132"/>
      <c r="AZ606" s="132"/>
      <c r="BA606" s="132"/>
      <c r="BB606" s="132"/>
      <c r="BC606" s="132"/>
      <c r="BD606" s="132"/>
      <c r="BE606" s="132"/>
      <c r="BF606" s="132"/>
      <c r="BG606" s="132"/>
      <c r="BH606" s="132"/>
      <c r="BI606" s="132"/>
      <c r="BJ606" s="132"/>
      <c r="BK606" s="132"/>
      <c r="BL606" s="132"/>
      <c r="BM606" s="132"/>
      <c r="BN606" s="132"/>
      <c r="BO606" s="132"/>
      <c r="BP606" s="132"/>
      <c r="BQ606" s="132"/>
      <c r="BR606" s="132"/>
      <c r="BS606" s="132"/>
      <c r="BT606" s="132"/>
      <c r="BU606" s="132"/>
      <c r="BV606" s="132"/>
      <c r="BW606" s="132"/>
      <c r="BX606" s="132"/>
      <c r="BY606" s="132"/>
      <c r="BZ606" s="132"/>
      <c r="CA606" s="132"/>
      <c r="CB606" s="132"/>
      <c r="CC606" s="132"/>
      <c r="CD606" s="132"/>
      <c r="CE606" s="132"/>
      <c r="CF606" s="132"/>
      <c r="CG606" s="140"/>
    </row>
    <row r="607" spans="1:85" s="139" customFormat="1" ht="13.9" customHeight="1" x14ac:dyDescent="0.2">
      <c r="A607" s="208" t="s">
        <v>143</v>
      </c>
      <c r="B607" s="202">
        <v>19</v>
      </c>
      <c r="C607" s="203" t="s">
        <v>149</v>
      </c>
      <c r="D607" s="209" t="s">
        <v>169</v>
      </c>
      <c r="E607" s="210"/>
      <c r="F607" s="210">
        <v>1500000000</v>
      </c>
      <c r="G607" s="210"/>
      <c r="H607" s="209" t="s">
        <v>794</v>
      </c>
      <c r="I607" s="203" t="s">
        <v>793</v>
      </c>
      <c r="J607" s="202">
        <v>3</v>
      </c>
      <c r="K607" s="202">
        <v>3</v>
      </c>
      <c r="L607" s="202">
        <v>9</v>
      </c>
      <c r="M607" s="185">
        <f t="shared" si="140"/>
        <v>1</v>
      </c>
      <c r="N607" s="193" t="s">
        <v>36</v>
      </c>
      <c r="O607" s="194" t="s">
        <v>256</v>
      </c>
      <c r="P607" s="211">
        <f>IF(ISBLANK(N607),"",1)</f>
        <v>1</v>
      </c>
      <c r="Q607" s="196">
        <f t="shared" si="146"/>
        <v>1500000000</v>
      </c>
      <c r="R607" s="196">
        <f t="shared" si="147"/>
        <v>1500000000</v>
      </c>
      <c r="S607" s="201" t="s">
        <v>217</v>
      </c>
      <c r="T607" s="211">
        <f>IF(ISBLANK(S607),"",IF(VALUE(S607)=0,0,IF(VALUE(S607)=1,3,"")))</f>
        <v>0</v>
      </c>
      <c r="U607" s="198" t="str">
        <f t="shared" si="141"/>
        <v>SUBDIRECCION DE GESTION CONTRACTUAL</v>
      </c>
      <c r="V607" s="211" t="str">
        <f t="shared" ref="V607:V629" si="148">IF(ISBLANK(N607),"","CO-DC")</f>
        <v>CO-DC</v>
      </c>
      <c r="W607" s="198" t="str">
        <f t="shared" ref="W607:W629" si="149">IF(ISBLANK(N607),"","Distrito Capital de Bogotá")</f>
        <v>Distrito Capital de Bogotá</v>
      </c>
      <c r="X607" s="209" t="s">
        <v>1006</v>
      </c>
      <c r="Y607" s="202">
        <v>2427401</v>
      </c>
      <c r="Z607" s="127" t="s">
        <v>1007</v>
      </c>
      <c r="AA607" s="134"/>
      <c r="AB607" s="134"/>
      <c r="AC607" s="134"/>
      <c r="AD607" s="134"/>
      <c r="AE607" s="134"/>
      <c r="AF607" s="134"/>
      <c r="AG607" s="134"/>
      <c r="AH607" s="134"/>
      <c r="AI607" s="134"/>
      <c r="AJ607" s="134"/>
      <c r="AK607" s="134"/>
      <c r="AL607" s="134"/>
      <c r="AM607" s="134"/>
      <c r="AN607" s="134"/>
      <c r="AO607" s="134"/>
      <c r="AP607" s="134"/>
      <c r="AQ607" s="134"/>
      <c r="AR607" s="134"/>
      <c r="AS607" s="134"/>
      <c r="AT607" s="134"/>
      <c r="AU607" s="132"/>
      <c r="AV607" s="132"/>
      <c r="AW607" s="132"/>
      <c r="AX607" s="132"/>
      <c r="AY607" s="132"/>
      <c r="AZ607" s="132"/>
      <c r="BA607" s="132"/>
      <c r="BB607" s="132"/>
      <c r="BC607" s="132"/>
      <c r="BD607" s="132"/>
      <c r="BE607" s="132"/>
      <c r="BF607" s="132"/>
      <c r="BG607" s="132"/>
      <c r="BH607" s="132"/>
      <c r="BI607" s="132"/>
      <c r="BJ607" s="132"/>
      <c r="BK607" s="132"/>
      <c r="BL607" s="132"/>
      <c r="BM607" s="132"/>
      <c r="BN607" s="132"/>
      <c r="BO607" s="132"/>
      <c r="BP607" s="132"/>
      <c r="BQ607" s="132"/>
      <c r="BR607" s="132"/>
      <c r="BS607" s="132"/>
      <c r="BT607" s="132"/>
      <c r="BU607" s="132"/>
      <c r="BV607" s="132"/>
      <c r="BW607" s="132"/>
      <c r="BX607" s="132"/>
      <c r="BY607" s="132"/>
      <c r="BZ607" s="132"/>
      <c r="CA607" s="132"/>
      <c r="CB607" s="132"/>
      <c r="CC607" s="132"/>
      <c r="CD607" s="132"/>
      <c r="CE607" s="132"/>
      <c r="CF607" s="132"/>
      <c r="CG607" s="140"/>
    </row>
    <row r="608" spans="1:85" s="139" customFormat="1" ht="13.9" customHeight="1" x14ac:dyDescent="0.2">
      <c r="A608" s="208" t="s">
        <v>143</v>
      </c>
      <c r="B608" s="202">
        <v>20</v>
      </c>
      <c r="C608" s="203" t="s">
        <v>149</v>
      </c>
      <c r="D608" s="209" t="s">
        <v>169</v>
      </c>
      <c r="E608" s="210"/>
      <c r="F608" s="210">
        <f>2500000000-2500000000</f>
        <v>0</v>
      </c>
      <c r="G608" s="210"/>
      <c r="H608" s="209" t="s">
        <v>759</v>
      </c>
      <c r="I608" s="203" t="s">
        <v>575</v>
      </c>
      <c r="J608" s="202">
        <v>4</v>
      </c>
      <c r="K608" s="202">
        <v>4</v>
      </c>
      <c r="L608" s="202">
        <v>8</v>
      </c>
      <c r="M608" s="185">
        <f t="shared" si="140"/>
        <v>1</v>
      </c>
      <c r="N608" s="193" t="s">
        <v>36</v>
      </c>
      <c r="O608" s="194" t="s">
        <v>256</v>
      </c>
      <c r="P608" s="211">
        <f>IF(ISBLANK(N608),"",1)</f>
        <v>1</v>
      </c>
      <c r="Q608" s="196">
        <f t="shared" si="146"/>
        <v>0</v>
      </c>
      <c r="R608" s="196">
        <f t="shared" si="147"/>
        <v>0</v>
      </c>
      <c r="S608" s="201" t="s">
        <v>217</v>
      </c>
      <c r="T608" s="211">
        <f>IF(ISBLANK(S608),"",IF(VALUE(S608)=0,0,IF(VALUE(S608)=1,3,"")))</f>
        <v>0</v>
      </c>
      <c r="U608" s="198" t="str">
        <f t="shared" si="141"/>
        <v>SUBDIRECCION DE GESTION CONTRACTUAL</v>
      </c>
      <c r="V608" s="211" t="str">
        <f t="shared" si="148"/>
        <v>CO-DC</v>
      </c>
      <c r="W608" s="211" t="str">
        <f t="shared" si="149"/>
        <v>Distrito Capital de Bogotá</v>
      </c>
      <c r="X608" s="209" t="s">
        <v>1006</v>
      </c>
      <c r="Y608" s="202">
        <v>2427401</v>
      </c>
      <c r="Z608" s="127" t="s">
        <v>1007</v>
      </c>
      <c r="AA608" s="134"/>
      <c r="AB608" s="134"/>
      <c r="AC608" s="134"/>
      <c r="AD608" s="134"/>
      <c r="AE608" s="134"/>
      <c r="AF608" s="134"/>
      <c r="AG608" s="134"/>
      <c r="AH608" s="134"/>
      <c r="AI608" s="134"/>
      <c r="AJ608" s="134"/>
      <c r="AK608" s="134"/>
      <c r="AL608" s="134"/>
      <c r="AM608" s="134"/>
      <c r="AN608" s="134"/>
      <c r="AO608" s="134"/>
      <c r="AP608" s="134"/>
      <c r="AQ608" s="134"/>
      <c r="AR608" s="134"/>
      <c r="AS608" s="134"/>
      <c r="AT608" s="134"/>
      <c r="AU608" s="132"/>
      <c r="AV608" s="132"/>
      <c r="AW608" s="132"/>
      <c r="AX608" s="132"/>
      <c r="AY608" s="132"/>
      <c r="AZ608" s="132"/>
      <c r="BA608" s="132"/>
      <c r="BB608" s="132"/>
      <c r="BC608" s="132"/>
      <c r="BD608" s="132"/>
      <c r="BE608" s="132"/>
      <c r="BF608" s="132"/>
      <c r="BG608" s="132"/>
      <c r="BH608" s="132"/>
      <c r="BI608" s="132"/>
      <c r="BJ608" s="132"/>
      <c r="BK608" s="132"/>
      <c r="BL608" s="132"/>
      <c r="BM608" s="132"/>
      <c r="BN608" s="132"/>
      <c r="BO608" s="132"/>
      <c r="BP608" s="132"/>
      <c r="BQ608" s="132"/>
      <c r="BR608" s="132"/>
      <c r="BS608" s="132"/>
      <c r="BT608" s="132"/>
      <c r="BU608" s="132"/>
      <c r="BV608" s="132"/>
      <c r="BW608" s="132"/>
      <c r="BX608" s="132"/>
      <c r="BY608" s="132"/>
      <c r="BZ608" s="132"/>
      <c r="CA608" s="132"/>
      <c r="CB608" s="132"/>
      <c r="CC608" s="132"/>
      <c r="CD608" s="132"/>
      <c r="CE608" s="132"/>
      <c r="CF608" s="132"/>
      <c r="CG608" s="140"/>
    </row>
    <row r="609" spans="1:85" s="139" customFormat="1" ht="13.9" customHeight="1" x14ac:dyDescent="0.2">
      <c r="A609" s="208" t="s">
        <v>143</v>
      </c>
      <c r="B609" s="202">
        <v>21</v>
      </c>
      <c r="C609" s="203" t="s">
        <v>149</v>
      </c>
      <c r="D609" s="209" t="s">
        <v>169</v>
      </c>
      <c r="E609" s="210"/>
      <c r="F609" s="210">
        <f>1500000000+750000000-2250000000</f>
        <v>0</v>
      </c>
      <c r="G609" s="210"/>
      <c r="H609" s="209" t="s">
        <v>760</v>
      </c>
      <c r="I609" s="203" t="s">
        <v>577</v>
      </c>
      <c r="J609" s="202">
        <v>4</v>
      </c>
      <c r="K609" s="202">
        <v>4</v>
      </c>
      <c r="L609" s="202">
        <v>8</v>
      </c>
      <c r="M609" s="185">
        <f t="shared" si="140"/>
        <v>1</v>
      </c>
      <c r="N609" s="193" t="s">
        <v>36</v>
      </c>
      <c r="O609" s="194" t="s">
        <v>256</v>
      </c>
      <c r="P609" s="211">
        <f>IF(ISBLANK(N609),"",1)</f>
        <v>1</v>
      </c>
      <c r="Q609" s="196">
        <f t="shared" si="146"/>
        <v>0</v>
      </c>
      <c r="R609" s="196">
        <f t="shared" si="147"/>
        <v>0</v>
      </c>
      <c r="S609" s="201" t="s">
        <v>217</v>
      </c>
      <c r="T609" s="211">
        <f>IF(ISBLANK(S609),"",IF(VALUE(S609)=0,0,IF(VALUE(S609)=1,3,"")))</f>
        <v>0</v>
      </c>
      <c r="U609" s="198" t="str">
        <f t="shared" si="141"/>
        <v>SUBDIRECCION DE GESTION CONTRACTUAL</v>
      </c>
      <c r="V609" s="211" t="str">
        <f t="shared" si="148"/>
        <v>CO-DC</v>
      </c>
      <c r="W609" s="211" t="str">
        <f t="shared" si="149"/>
        <v>Distrito Capital de Bogotá</v>
      </c>
      <c r="X609" s="209" t="s">
        <v>1006</v>
      </c>
      <c r="Y609" s="202">
        <v>2427401</v>
      </c>
      <c r="Z609" s="127" t="s">
        <v>1007</v>
      </c>
      <c r="AA609" s="134"/>
      <c r="AB609" s="134"/>
      <c r="AC609" s="134"/>
      <c r="AD609" s="134"/>
      <c r="AE609" s="134"/>
      <c r="AF609" s="134"/>
      <c r="AG609" s="134"/>
      <c r="AH609" s="134"/>
      <c r="AI609" s="134"/>
      <c r="AJ609" s="134"/>
      <c r="AK609" s="134"/>
      <c r="AL609" s="134"/>
      <c r="AM609" s="134"/>
      <c r="AN609" s="134"/>
      <c r="AO609" s="134"/>
      <c r="AP609" s="134"/>
      <c r="AQ609" s="134"/>
      <c r="AR609" s="134"/>
      <c r="AS609" s="134"/>
      <c r="AT609" s="134"/>
      <c r="AU609" s="132"/>
      <c r="AV609" s="132"/>
      <c r="AW609" s="132"/>
      <c r="AX609" s="132"/>
      <c r="AY609" s="132"/>
      <c r="AZ609" s="132"/>
      <c r="BA609" s="132"/>
      <c r="BB609" s="132"/>
      <c r="BC609" s="132"/>
      <c r="BD609" s="132"/>
      <c r="BE609" s="132"/>
      <c r="BF609" s="132"/>
      <c r="BG609" s="132"/>
      <c r="BH609" s="132"/>
      <c r="BI609" s="132"/>
      <c r="BJ609" s="132"/>
      <c r="BK609" s="132"/>
      <c r="BL609" s="132"/>
      <c r="BM609" s="132"/>
      <c r="BN609" s="132"/>
      <c r="BO609" s="132"/>
      <c r="BP609" s="132"/>
      <c r="BQ609" s="132"/>
      <c r="BR609" s="132"/>
      <c r="BS609" s="132"/>
      <c r="BT609" s="132"/>
      <c r="BU609" s="132"/>
      <c r="BV609" s="132"/>
      <c r="BW609" s="132"/>
      <c r="BX609" s="132"/>
      <c r="BY609" s="132"/>
      <c r="BZ609" s="132"/>
      <c r="CA609" s="132"/>
      <c r="CB609" s="132"/>
      <c r="CC609" s="132"/>
      <c r="CD609" s="132"/>
      <c r="CE609" s="132"/>
      <c r="CF609" s="132"/>
      <c r="CG609" s="140"/>
    </row>
    <row r="610" spans="1:85" s="139" customFormat="1" ht="13.9" customHeight="1" x14ac:dyDescent="0.2">
      <c r="A610" s="208" t="s">
        <v>143</v>
      </c>
      <c r="B610" s="202">
        <v>22</v>
      </c>
      <c r="C610" s="203" t="s">
        <v>537</v>
      </c>
      <c r="D610" s="209" t="s">
        <v>169</v>
      </c>
      <c r="E610" s="210"/>
      <c r="F610" s="210">
        <f>680000000-102000000</f>
        <v>578000000</v>
      </c>
      <c r="G610" s="210"/>
      <c r="H610" s="209">
        <v>80111600</v>
      </c>
      <c r="I610" s="203" t="s">
        <v>572</v>
      </c>
      <c r="J610" s="202">
        <v>1</v>
      </c>
      <c r="K610" s="202">
        <v>1</v>
      </c>
      <c r="L610" s="202">
        <v>12</v>
      </c>
      <c r="M610" s="185">
        <f t="shared" si="140"/>
        <v>1</v>
      </c>
      <c r="N610" s="193" t="s">
        <v>210</v>
      </c>
      <c r="O610" s="194" t="s">
        <v>264</v>
      </c>
      <c r="P610" s="211">
        <f>IF(ISBLANK(N610),"",1)</f>
        <v>1</v>
      </c>
      <c r="Q610" s="196">
        <f t="shared" si="146"/>
        <v>578000000</v>
      </c>
      <c r="R610" s="196">
        <f t="shared" si="147"/>
        <v>578000000</v>
      </c>
      <c r="S610" s="201" t="s">
        <v>217</v>
      </c>
      <c r="T610" s="211">
        <f>IF(ISBLANK(S610),"",IF(VALUE(S610)=0,0,IF(VALUE(S610)=1,3,"")))</f>
        <v>0</v>
      </c>
      <c r="U610" s="198" t="str">
        <f t="shared" si="141"/>
        <v>SUBDIRECCION DE GESTION CONTRACTUAL</v>
      </c>
      <c r="V610" s="211" t="str">
        <f t="shared" si="148"/>
        <v>CO-DC</v>
      </c>
      <c r="W610" s="211" t="str">
        <f t="shared" si="149"/>
        <v>Distrito Capital de Bogotá</v>
      </c>
      <c r="X610" s="209" t="s">
        <v>1006</v>
      </c>
      <c r="Y610" s="202">
        <v>2427401</v>
      </c>
      <c r="Z610" s="127" t="s">
        <v>1007</v>
      </c>
      <c r="AA610" s="134"/>
      <c r="AB610" s="134"/>
      <c r="AC610" s="134"/>
      <c r="AD610" s="134"/>
      <c r="AE610" s="134"/>
      <c r="AF610" s="134"/>
      <c r="AG610" s="134"/>
      <c r="AH610" s="134"/>
      <c r="AI610" s="134"/>
      <c r="AJ610" s="134"/>
      <c r="AK610" s="134"/>
      <c r="AL610" s="134"/>
      <c r="AM610" s="134"/>
      <c r="AN610" s="134"/>
      <c r="AO610" s="134"/>
      <c r="AP610" s="134"/>
      <c r="AQ610" s="134"/>
      <c r="AR610" s="134"/>
      <c r="AS610" s="134"/>
      <c r="AT610" s="134"/>
      <c r="AU610" s="132"/>
      <c r="AV610" s="132"/>
      <c r="AW610" s="132"/>
      <c r="AX610" s="132"/>
      <c r="AY610" s="132"/>
      <c r="AZ610" s="132"/>
      <c r="BA610" s="132"/>
      <c r="BB610" s="132"/>
      <c r="BC610" s="132"/>
      <c r="BD610" s="132"/>
      <c r="BE610" s="132"/>
      <c r="BF610" s="132"/>
      <c r="BG610" s="132"/>
      <c r="BH610" s="132"/>
      <c r="BI610" s="132"/>
      <c r="BJ610" s="132"/>
      <c r="BK610" s="132"/>
      <c r="BL610" s="132"/>
      <c r="BM610" s="132"/>
      <c r="BN610" s="132"/>
      <c r="BO610" s="132"/>
      <c r="BP610" s="132"/>
      <c r="BQ610" s="132"/>
      <c r="BR610" s="132"/>
      <c r="BS610" s="132"/>
      <c r="BT610" s="132"/>
      <c r="BU610" s="132"/>
      <c r="BV610" s="132"/>
      <c r="BW610" s="132"/>
      <c r="BX610" s="132"/>
      <c r="BY610" s="132"/>
      <c r="BZ610" s="132"/>
      <c r="CA610" s="132"/>
      <c r="CB610" s="132"/>
      <c r="CC610" s="132"/>
      <c r="CD610" s="132"/>
      <c r="CE610" s="132"/>
      <c r="CF610" s="132"/>
      <c r="CG610" s="140"/>
    </row>
    <row r="611" spans="1:85" s="139" customFormat="1" ht="13.9" customHeight="1" x14ac:dyDescent="0.2">
      <c r="A611" s="208" t="s">
        <v>143</v>
      </c>
      <c r="B611" s="202">
        <v>23</v>
      </c>
      <c r="C611" s="203" t="s">
        <v>151</v>
      </c>
      <c r="D611" s="209" t="s">
        <v>169</v>
      </c>
      <c r="E611" s="210"/>
      <c r="F611" s="210">
        <f>620000000-620000000</f>
        <v>0</v>
      </c>
      <c r="G611" s="210"/>
      <c r="H611" s="209" t="s">
        <v>759</v>
      </c>
      <c r="I611" s="203" t="s">
        <v>575</v>
      </c>
      <c r="J611" s="202">
        <v>4</v>
      </c>
      <c r="K611" s="202">
        <v>4</v>
      </c>
      <c r="L611" s="202">
        <v>8</v>
      </c>
      <c r="M611" s="185">
        <f t="shared" si="140"/>
        <v>1</v>
      </c>
      <c r="N611" s="193" t="s">
        <v>36</v>
      </c>
      <c r="O611" s="194" t="s">
        <v>256</v>
      </c>
      <c r="P611" s="211">
        <f>IF(ISBLANK(N611),"",1)</f>
        <v>1</v>
      </c>
      <c r="Q611" s="196">
        <f t="shared" si="146"/>
        <v>0</v>
      </c>
      <c r="R611" s="196">
        <f t="shared" si="147"/>
        <v>0</v>
      </c>
      <c r="S611" s="201" t="s">
        <v>217</v>
      </c>
      <c r="T611" s="211">
        <f>IF(ISBLANK(S611),"",IF(VALUE(S611)=0,0,IF(VALUE(S611)=1,3,"")))</f>
        <v>0</v>
      </c>
      <c r="U611" s="198" t="str">
        <f t="shared" si="141"/>
        <v>SUBDIRECCION DE GESTION CONTRACTUAL</v>
      </c>
      <c r="V611" s="211" t="str">
        <f t="shared" si="148"/>
        <v>CO-DC</v>
      </c>
      <c r="W611" s="211" t="str">
        <f t="shared" si="149"/>
        <v>Distrito Capital de Bogotá</v>
      </c>
      <c r="X611" s="209" t="s">
        <v>1006</v>
      </c>
      <c r="Y611" s="202">
        <v>2427401</v>
      </c>
      <c r="Z611" s="127" t="s">
        <v>1007</v>
      </c>
      <c r="AA611" s="134"/>
      <c r="AB611" s="134"/>
      <c r="AC611" s="134"/>
      <c r="AD611" s="134"/>
      <c r="AE611" s="134"/>
      <c r="AF611" s="134"/>
      <c r="AG611" s="134"/>
      <c r="AH611" s="134"/>
      <c r="AI611" s="134"/>
      <c r="AJ611" s="134"/>
      <c r="AK611" s="134"/>
      <c r="AL611" s="134"/>
      <c r="AM611" s="134"/>
      <c r="AN611" s="134"/>
      <c r="AO611" s="134"/>
      <c r="AP611" s="134"/>
      <c r="AQ611" s="134"/>
      <c r="AR611" s="134"/>
      <c r="AS611" s="134"/>
      <c r="AT611" s="134"/>
      <c r="AU611" s="132"/>
      <c r="AV611" s="132"/>
      <c r="AW611" s="132"/>
      <c r="AX611" s="132"/>
      <c r="AY611" s="132"/>
      <c r="AZ611" s="132"/>
      <c r="BA611" s="132"/>
      <c r="BB611" s="132"/>
      <c r="BC611" s="132"/>
      <c r="BD611" s="132"/>
      <c r="BE611" s="132"/>
      <c r="BF611" s="132"/>
      <c r="BG611" s="132"/>
      <c r="BH611" s="132"/>
      <c r="BI611" s="132"/>
      <c r="BJ611" s="132"/>
      <c r="BK611" s="132"/>
      <c r="BL611" s="132"/>
      <c r="BM611" s="132"/>
      <c r="BN611" s="132"/>
      <c r="BO611" s="132"/>
      <c r="BP611" s="132"/>
      <c r="BQ611" s="132"/>
      <c r="BR611" s="132"/>
      <c r="BS611" s="132"/>
      <c r="BT611" s="132"/>
      <c r="BU611" s="132"/>
      <c r="BV611" s="132"/>
      <c r="BW611" s="132"/>
      <c r="BX611" s="132"/>
      <c r="BY611" s="132"/>
      <c r="BZ611" s="132"/>
      <c r="CA611" s="132"/>
      <c r="CB611" s="132"/>
      <c r="CC611" s="132"/>
      <c r="CD611" s="132"/>
      <c r="CE611" s="132"/>
      <c r="CF611" s="132"/>
      <c r="CG611" s="140"/>
    </row>
    <row r="612" spans="1:85" s="139" customFormat="1" ht="13.9" customHeight="1" x14ac:dyDescent="0.2">
      <c r="A612" s="208" t="s">
        <v>143</v>
      </c>
      <c r="B612" s="202">
        <v>24</v>
      </c>
      <c r="C612" s="203" t="s">
        <v>149</v>
      </c>
      <c r="D612" s="209" t="s">
        <v>169</v>
      </c>
      <c r="E612" s="210"/>
      <c r="F612" s="210">
        <f>50000000-50000000</f>
        <v>0</v>
      </c>
      <c r="G612" s="210"/>
      <c r="H612" s="188" t="s">
        <v>710</v>
      </c>
      <c r="I612" s="203" t="s">
        <v>540</v>
      </c>
      <c r="J612" s="206">
        <v>1</v>
      </c>
      <c r="K612" s="206">
        <v>2</v>
      </c>
      <c r="L612" s="206">
        <v>3</v>
      </c>
      <c r="M612" s="185">
        <f t="shared" ref="M612:M629" si="150">IF(ISBLANK(J612),"",1)</f>
        <v>1</v>
      </c>
      <c r="N612" s="193" t="s">
        <v>36</v>
      </c>
      <c r="O612" s="194" t="s">
        <v>256</v>
      </c>
      <c r="P612" s="211">
        <v>1</v>
      </c>
      <c r="Q612" s="196">
        <f t="shared" si="146"/>
        <v>0</v>
      </c>
      <c r="R612" s="196">
        <f t="shared" si="147"/>
        <v>0</v>
      </c>
      <c r="S612" s="201" t="s">
        <v>217</v>
      </c>
      <c r="T612" s="211">
        <v>0</v>
      </c>
      <c r="U612" s="198" t="str">
        <f t="shared" ref="U612:U629" si="151">IF(ISBLANK(N612),"","SUBDIRECCION DE GESTION CONTRACTUAL")</f>
        <v>SUBDIRECCION DE GESTION CONTRACTUAL</v>
      </c>
      <c r="V612" s="211" t="str">
        <f t="shared" si="148"/>
        <v>CO-DC</v>
      </c>
      <c r="W612" s="211" t="str">
        <f t="shared" si="149"/>
        <v>Distrito Capital de Bogotá</v>
      </c>
      <c r="X612" s="209" t="s">
        <v>145</v>
      </c>
      <c r="Y612" s="202">
        <v>2427401</v>
      </c>
      <c r="Z612" s="212" t="s">
        <v>146</v>
      </c>
      <c r="AA612" s="134"/>
      <c r="AB612" s="134"/>
      <c r="AC612" s="134"/>
      <c r="AD612" s="134"/>
      <c r="AE612" s="134"/>
      <c r="AF612" s="134"/>
      <c r="AG612" s="134"/>
      <c r="AH612" s="134"/>
      <c r="AI612" s="134"/>
      <c r="AJ612" s="134"/>
      <c r="AK612" s="134"/>
      <c r="AL612" s="134"/>
      <c r="AM612" s="134"/>
      <c r="AN612" s="134"/>
      <c r="AO612" s="134"/>
      <c r="AP612" s="134"/>
      <c r="AQ612" s="134"/>
      <c r="AR612" s="134"/>
      <c r="AS612" s="134"/>
      <c r="AT612" s="134"/>
      <c r="AU612" s="132"/>
      <c r="AV612" s="132"/>
      <c r="AW612" s="132"/>
      <c r="AX612" s="132"/>
      <c r="AY612" s="132"/>
      <c r="AZ612" s="132"/>
      <c r="BA612" s="132"/>
      <c r="BB612" s="132"/>
      <c r="BC612" s="132"/>
      <c r="BD612" s="132"/>
      <c r="BE612" s="132"/>
      <c r="BF612" s="132"/>
      <c r="BG612" s="132"/>
      <c r="BH612" s="132"/>
      <c r="BI612" s="132"/>
      <c r="BJ612" s="132"/>
      <c r="BK612" s="132"/>
      <c r="BL612" s="132"/>
      <c r="BM612" s="132"/>
      <c r="BN612" s="132"/>
      <c r="BO612" s="132"/>
      <c r="BP612" s="132"/>
      <c r="BQ612" s="132"/>
      <c r="BR612" s="132"/>
      <c r="BS612" s="132"/>
      <c r="BT612" s="132"/>
      <c r="BU612" s="132"/>
      <c r="BV612" s="132"/>
      <c r="BW612" s="132"/>
      <c r="BX612" s="132"/>
      <c r="BY612" s="132"/>
      <c r="BZ612" s="132"/>
      <c r="CA612" s="132"/>
      <c r="CB612" s="132"/>
      <c r="CC612" s="132"/>
      <c r="CD612" s="132"/>
      <c r="CE612" s="132"/>
      <c r="CF612" s="132"/>
      <c r="CG612" s="140"/>
    </row>
    <row r="613" spans="1:85" s="139" customFormat="1" ht="13.9" customHeight="1" x14ac:dyDescent="0.2">
      <c r="A613" s="208" t="s">
        <v>143</v>
      </c>
      <c r="B613" s="202">
        <v>25</v>
      </c>
      <c r="C613" s="203" t="s">
        <v>151</v>
      </c>
      <c r="D613" s="209" t="s">
        <v>169</v>
      </c>
      <c r="E613" s="210"/>
      <c r="F613" s="210">
        <f>216000000-50000000</f>
        <v>166000000</v>
      </c>
      <c r="G613" s="210"/>
      <c r="H613" s="209">
        <v>80111600</v>
      </c>
      <c r="I613" s="203" t="s">
        <v>572</v>
      </c>
      <c r="J613" s="202">
        <v>1</v>
      </c>
      <c r="K613" s="202">
        <v>1</v>
      </c>
      <c r="L613" s="202">
        <v>12</v>
      </c>
      <c r="M613" s="185">
        <f t="shared" si="150"/>
        <v>1</v>
      </c>
      <c r="N613" s="193" t="s">
        <v>210</v>
      </c>
      <c r="O613" s="194" t="s">
        <v>264</v>
      </c>
      <c r="P613" s="211">
        <f t="shared" ref="P613:P620" si="152">IF(ISBLANK(N613),"",1)</f>
        <v>1</v>
      </c>
      <c r="Q613" s="196">
        <f t="shared" si="146"/>
        <v>166000000</v>
      </c>
      <c r="R613" s="196">
        <f t="shared" si="147"/>
        <v>166000000</v>
      </c>
      <c r="S613" s="201" t="s">
        <v>217</v>
      </c>
      <c r="T613" s="211">
        <f t="shared" ref="T613:T620" si="153">IF(ISBLANK(S613),"",IF(VALUE(S613)=0,0,IF(VALUE(S613)=1,3,"")))</f>
        <v>0</v>
      </c>
      <c r="U613" s="198" t="str">
        <f t="shared" si="151"/>
        <v>SUBDIRECCION DE GESTION CONTRACTUAL</v>
      </c>
      <c r="V613" s="211" t="str">
        <f t="shared" si="148"/>
        <v>CO-DC</v>
      </c>
      <c r="W613" s="211" t="str">
        <f t="shared" si="149"/>
        <v>Distrito Capital de Bogotá</v>
      </c>
      <c r="X613" s="209" t="s">
        <v>1006</v>
      </c>
      <c r="Y613" s="202">
        <v>2427401</v>
      </c>
      <c r="Z613" s="127" t="s">
        <v>1007</v>
      </c>
      <c r="AA613" s="134"/>
      <c r="AB613" s="134"/>
      <c r="AC613" s="134"/>
      <c r="AD613" s="134"/>
      <c r="AE613" s="134"/>
      <c r="AF613" s="134"/>
      <c r="AG613" s="134"/>
      <c r="AH613" s="134"/>
      <c r="AI613" s="134"/>
      <c r="AJ613" s="134"/>
      <c r="AK613" s="134"/>
      <c r="AL613" s="134"/>
      <c r="AM613" s="134"/>
      <c r="AN613" s="134"/>
      <c r="AO613" s="134"/>
      <c r="AP613" s="134"/>
      <c r="AQ613" s="134"/>
      <c r="AR613" s="134"/>
      <c r="AS613" s="134"/>
      <c r="AT613" s="134"/>
      <c r="AU613" s="132"/>
      <c r="AV613" s="132"/>
      <c r="AW613" s="132"/>
      <c r="AX613" s="132"/>
      <c r="AY613" s="132"/>
      <c r="AZ613" s="132"/>
      <c r="BA613" s="132"/>
      <c r="BB613" s="132"/>
      <c r="BC613" s="132"/>
      <c r="BD613" s="132"/>
      <c r="BE613" s="132"/>
      <c r="BF613" s="132"/>
      <c r="BG613" s="132"/>
      <c r="BH613" s="132"/>
      <c r="BI613" s="132"/>
      <c r="BJ613" s="132"/>
      <c r="BK613" s="132"/>
      <c r="BL613" s="132"/>
      <c r="BM613" s="132"/>
      <c r="BN613" s="132"/>
      <c r="BO613" s="132"/>
      <c r="BP613" s="132"/>
      <c r="BQ613" s="132"/>
      <c r="BR613" s="132"/>
      <c r="BS613" s="132"/>
      <c r="BT613" s="132"/>
      <c r="BU613" s="132"/>
      <c r="BV613" s="132"/>
      <c r="BW613" s="132"/>
      <c r="BX613" s="132"/>
      <c r="BY613" s="132"/>
      <c r="BZ613" s="132"/>
      <c r="CA613" s="132"/>
      <c r="CB613" s="132"/>
      <c r="CC613" s="132"/>
      <c r="CD613" s="132"/>
      <c r="CE613" s="132"/>
      <c r="CF613" s="132"/>
      <c r="CG613" s="140"/>
    </row>
    <row r="614" spans="1:85" s="139" customFormat="1" ht="13.9" customHeight="1" x14ac:dyDescent="0.2">
      <c r="A614" s="208" t="s">
        <v>143</v>
      </c>
      <c r="B614" s="202">
        <v>26</v>
      </c>
      <c r="C614" s="203" t="s">
        <v>150</v>
      </c>
      <c r="D614" s="209" t="s">
        <v>169</v>
      </c>
      <c r="E614" s="210"/>
      <c r="F614" s="210">
        <f>420000000-75750000+17400000</f>
        <v>361650000</v>
      </c>
      <c r="G614" s="210"/>
      <c r="H614" s="209">
        <v>80111600</v>
      </c>
      <c r="I614" s="203" t="s">
        <v>572</v>
      </c>
      <c r="J614" s="202">
        <v>1</v>
      </c>
      <c r="K614" s="202">
        <v>1</v>
      </c>
      <c r="L614" s="202">
        <v>12</v>
      </c>
      <c r="M614" s="185">
        <f t="shared" si="150"/>
        <v>1</v>
      </c>
      <c r="N614" s="193" t="s">
        <v>210</v>
      </c>
      <c r="O614" s="194" t="s">
        <v>264</v>
      </c>
      <c r="P614" s="211">
        <f t="shared" si="152"/>
        <v>1</v>
      </c>
      <c r="Q614" s="196">
        <f t="shared" si="146"/>
        <v>361650000</v>
      </c>
      <c r="R614" s="196">
        <f t="shared" si="147"/>
        <v>361650000</v>
      </c>
      <c r="S614" s="201" t="s">
        <v>217</v>
      </c>
      <c r="T614" s="211">
        <f t="shared" si="153"/>
        <v>0</v>
      </c>
      <c r="U614" s="198" t="str">
        <f t="shared" si="151"/>
        <v>SUBDIRECCION DE GESTION CONTRACTUAL</v>
      </c>
      <c r="V614" s="211" t="str">
        <f t="shared" si="148"/>
        <v>CO-DC</v>
      </c>
      <c r="W614" s="211" t="str">
        <f t="shared" si="149"/>
        <v>Distrito Capital de Bogotá</v>
      </c>
      <c r="X614" s="209" t="s">
        <v>854</v>
      </c>
      <c r="Y614" s="202">
        <v>2427401</v>
      </c>
      <c r="Z614" s="127" t="s">
        <v>855</v>
      </c>
      <c r="AA614" s="134"/>
      <c r="AB614" s="134"/>
      <c r="AC614" s="134"/>
      <c r="AD614" s="134"/>
      <c r="AE614" s="134"/>
      <c r="AF614" s="134"/>
      <c r="AG614" s="134"/>
      <c r="AH614" s="134"/>
      <c r="AI614" s="134"/>
      <c r="AJ614" s="134"/>
      <c r="AK614" s="134"/>
      <c r="AL614" s="134"/>
      <c r="AM614" s="134"/>
      <c r="AN614" s="134"/>
      <c r="AO614" s="134"/>
      <c r="AP614" s="134"/>
      <c r="AQ614" s="134"/>
      <c r="AR614" s="134"/>
      <c r="AS614" s="134"/>
      <c r="AT614" s="134"/>
      <c r="AU614" s="132"/>
      <c r="AV614" s="132"/>
      <c r="AW614" s="132"/>
      <c r="AX614" s="132"/>
      <c r="AY614" s="132"/>
      <c r="AZ614" s="132"/>
      <c r="BA614" s="132"/>
      <c r="BB614" s="132"/>
      <c r="BC614" s="132"/>
      <c r="BD614" s="132"/>
      <c r="BE614" s="132"/>
      <c r="BF614" s="132"/>
      <c r="BG614" s="132"/>
      <c r="BH614" s="132"/>
      <c r="BI614" s="132"/>
      <c r="BJ614" s="132"/>
      <c r="BK614" s="132"/>
      <c r="BL614" s="132"/>
      <c r="BM614" s="132"/>
      <c r="BN614" s="132"/>
      <c r="BO614" s="132"/>
      <c r="BP614" s="132"/>
      <c r="BQ614" s="132"/>
      <c r="BR614" s="132"/>
      <c r="BS614" s="132"/>
      <c r="BT614" s="132"/>
      <c r="BU614" s="132"/>
      <c r="BV614" s="132"/>
      <c r="BW614" s="132"/>
      <c r="BX614" s="132"/>
      <c r="BY614" s="132"/>
      <c r="BZ614" s="132"/>
      <c r="CA614" s="132"/>
      <c r="CB614" s="132"/>
      <c r="CC614" s="132"/>
      <c r="CD614" s="132"/>
      <c r="CE614" s="132"/>
      <c r="CF614" s="132"/>
      <c r="CG614" s="140"/>
    </row>
    <row r="615" spans="1:85" s="139" customFormat="1" ht="13.9" customHeight="1" x14ac:dyDescent="0.2">
      <c r="A615" s="208" t="s">
        <v>143</v>
      </c>
      <c r="B615" s="202">
        <v>27</v>
      </c>
      <c r="C615" s="203" t="s">
        <v>150</v>
      </c>
      <c r="D615" s="209" t="s">
        <v>169</v>
      </c>
      <c r="E615" s="210"/>
      <c r="F615" s="210">
        <v>426500000</v>
      </c>
      <c r="G615" s="210"/>
      <c r="H615" s="209" t="s">
        <v>794</v>
      </c>
      <c r="I615" s="203" t="s">
        <v>793</v>
      </c>
      <c r="J615" s="202">
        <v>3</v>
      </c>
      <c r="K615" s="202">
        <v>3</v>
      </c>
      <c r="L615" s="202">
        <v>9</v>
      </c>
      <c r="M615" s="185">
        <f t="shared" si="150"/>
        <v>1</v>
      </c>
      <c r="N615" s="193" t="s">
        <v>36</v>
      </c>
      <c r="O615" s="194" t="s">
        <v>256</v>
      </c>
      <c r="P615" s="211">
        <f t="shared" si="152"/>
        <v>1</v>
      </c>
      <c r="Q615" s="196">
        <f t="shared" si="146"/>
        <v>426500000</v>
      </c>
      <c r="R615" s="196">
        <f t="shared" si="147"/>
        <v>426500000</v>
      </c>
      <c r="S615" s="201" t="s">
        <v>217</v>
      </c>
      <c r="T615" s="211">
        <f t="shared" si="153"/>
        <v>0</v>
      </c>
      <c r="U615" s="198" t="str">
        <f t="shared" si="151"/>
        <v>SUBDIRECCION DE GESTION CONTRACTUAL</v>
      </c>
      <c r="V615" s="211" t="str">
        <f t="shared" si="148"/>
        <v>CO-DC</v>
      </c>
      <c r="W615" s="211" t="str">
        <f t="shared" si="149"/>
        <v>Distrito Capital de Bogotá</v>
      </c>
      <c r="X615" s="209" t="s">
        <v>1006</v>
      </c>
      <c r="Y615" s="202">
        <v>2427401</v>
      </c>
      <c r="Z615" s="127" t="s">
        <v>1007</v>
      </c>
      <c r="AA615" s="134"/>
      <c r="AB615" s="134"/>
      <c r="AC615" s="134"/>
      <c r="AD615" s="134"/>
      <c r="AE615" s="134"/>
      <c r="AF615" s="134"/>
      <c r="AG615" s="134"/>
      <c r="AH615" s="134"/>
      <c r="AI615" s="134"/>
      <c r="AJ615" s="134"/>
      <c r="AK615" s="134"/>
      <c r="AL615" s="134"/>
      <c r="AM615" s="134"/>
      <c r="AN615" s="134"/>
      <c r="AO615" s="134"/>
      <c r="AP615" s="134"/>
      <c r="AQ615" s="134"/>
      <c r="AR615" s="134"/>
      <c r="AS615" s="134"/>
      <c r="AT615" s="134"/>
      <c r="AU615" s="132"/>
      <c r="AV615" s="132"/>
      <c r="AW615" s="132"/>
      <c r="AX615" s="132"/>
      <c r="AY615" s="132"/>
      <c r="AZ615" s="132"/>
      <c r="BA615" s="132"/>
      <c r="BB615" s="132"/>
      <c r="BC615" s="132"/>
      <c r="BD615" s="132"/>
      <c r="BE615" s="132"/>
      <c r="BF615" s="132"/>
      <c r="BG615" s="132"/>
      <c r="BH615" s="132"/>
      <c r="BI615" s="132"/>
      <c r="BJ615" s="132"/>
      <c r="BK615" s="132"/>
      <c r="BL615" s="132"/>
      <c r="BM615" s="132"/>
      <c r="BN615" s="132"/>
      <c r="BO615" s="132"/>
      <c r="BP615" s="132"/>
      <c r="BQ615" s="132"/>
      <c r="BR615" s="132"/>
      <c r="BS615" s="132"/>
      <c r="BT615" s="132"/>
      <c r="BU615" s="132"/>
      <c r="BV615" s="132"/>
      <c r="BW615" s="132"/>
      <c r="BX615" s="132"/>
      <c r="BY615" s="132"/>
      <c r="BZ615" s="132"/>
      <c r="CA615" s="132"/>
      <c r="CB615" s="132"/>
      <c r="CC615" s="132"/>
      <c r="CD615" s="132"/>
      <c r="CE615" s="132"/>
      <c r="CF615" s="132"/>
      <c r="CG615" s="140"/>
    </row>
    <row r="616" spans="1:85" s="139" customFormat="1" ht="13.9" customHeight="1" x14ac:dyDescent="0.2">
      <c r="A616" s="208" t="s">
        <v>143</v>
      </c>
      <c r="B616" s="202">
        <v>28</v>
      </c>
      <c r="C616" s="203" t="s">
        <v>495</v>
      </c>
      <c r="D616" s="209" t="s">
        <v>764</v>
      </c>
      <c r="E616" s="210"/>
      <c r="F616" s="210">
        <f>864000000-864000000</f>
        <v>0</v>
      </c>
      <c r="G616" s="210"/>
      <c r="H616" s="209" t="s">
        <v>705</v>
      </c>
      <c r="I616" s="203" t="s">
        <v>576</v>
      </c>
      <c r="J616" s="202">
        <v>3</v>
      </c>
      <c r="K616" s="202">
        <v>3</v>
      </c>
      <c r="L616" s="202">
        <v>9</v>
      </c>
      <c r="M616" s="185">
        <f t="shared" si="150"/>
        <v>1</v>
      </c>
      <c r="N616" s="193" t="s">
        <v>36</v>
      </c>
      <c r="O616" s="194" t="s">
        <v>256</v>
      </c>
      <c r="P616" s="211">
        <f t="shared" si="152"/>
        <v>1</v>
      </c>
      <c r="Q616" s="196">
        <f t="shared" si="146"/>
        <v>0</v>
      </c>
      <c r="R616" s="196">
        <f t="shared" si="147"/>
        <v>0</v>
      </c>
      <c r="S616" s="201" t="s">
        <v>217</v>
      </c>
      <c r="T616" s="211">
        <f t="shared" si="153"/>
        <v>0</v>
      </c>
      <c r="U616" s="198" t="str">
        <f t="shared" si="151"/>
        <v>SUBDIRECCION DE GESTION CONTRACTUAL</v>
      </c>
      <c r="V616" s="211" t="str">
        <f t="shared" si="148"/>
        <v>CO-DC</v>
      </c>
      <c r="W616" s="211" t="str">
        <f t="shared" si="149"/>
        <v>Distrito Capital de Bogotá</v>
      </c>
      <c r="X616" s="209" t="s">
        <v>1006</v>
      </c>
      <c r="Y616" s="202">
        <v>2427401</v>
      </c>
      <c r="Z616" s="127" t="s">
        <v>1007</v>
      </c>
      <c r="AA616" s="134"/>
      <c r="AB616" s="134"/>
      <c r="AC616" s="134"/>
      <c r="AD616" s="134"/>
      <c r="AE616" s="134"/>
      <c r="AF616" s="134"/>
      <c r="AG616" s="134"/>
      <c r="AH616" s="134"/>
      <c r="AI616" s="134"/>
      <c r="AJ616" s="134"/>
      <c r="AK616" s="134"/>
      <c r="AL616" s="134"/>
      <c r="AM616" s="134"/>
      <c r="AN616" s="134"/>
      <c r="AO616" s="134"/>
      <c r="AP616" s="134"/>
      <c r="AQ616" s="134"/>
      <c r="AR616" s="134"/>
      <c r="AS616" s="134"/>
      <c r="AT616" s="134"/>
      <c r="AU616" s="132"/>
      <c r="AV616" s="132"/>
      <c r="AW616" s="132"/>
      <c r="AX616" s="132"/>
      <c r="AY616" s="132"/>
      <c r="AZ616" s="132"/>
      <c r="BA616" s="132"/>
      <c r="BB616" s="132"/>
      <c r="BC616" s="132"/>
      <c r="BD616" s="132"/>
      <c r="BE616" s="132"/>
      <c r="BF616" s="132"/>
      <c r="BG616" s="132"/>
      <c r="BH616" s="132"/>
      <c r="BI616" s="132"/>
      <c r="BJ616" s="132"/>
      <c r="BK616" s="132"/>
      <c r="BL616" s="132"/>
      <c r="BM616" s="132"/>
      <c r="BN616" s="132"/>
      <c r="BO616" s="132"/>
      <c r="BP616" s="132"/>
      <c r="BQ616" s="132"/>
      <c r="BR616" s="132"/>
      <c r="BS616" s="132"/>
      <c r="BT616" s="132"/>
      <c r="BU616" s="132"/>
      <c r="BV616" s="132"/>
      <c r="BW616" s="132"/>
      <c r="BX616" s="132"/>
      <c r="BY616" s="132"/>
      <c r="BZ616" s="132"/>
      <c r="CA616" s="132"/>
      <c r="CB616" s="132"/>
      <c r="CC616" s="132"/>
      <c r="CD616" s="132"/>
      <c r="CE616" s="132"/>
      <c r="CF616" s="132"/>
      <c r="CG616" s="140"/>
    </row>
    <row r="617" spans="1:85" s="139" customFormat="1" ht="13.9" customHeight="1" x14ac:dyDescent="0.2">
      <c r="A617" s="208" t="s">
        <v>143</v>
      </c>
      <c r="B617" s="202">
        <v>29</v>
      </c>
      <c r="C617" s="203" t="s">
        <v>495</v>
      </c>
      <c r="D617" s="209" t="s">
        <v>764</v>
      </c>
      <c r="E617" s="210"/>
      <c r="F617" s="210">
        <v>288000000</v>
      </c>
      <c r="G617" s="210"/>
      <c r="H617" s="209">
        <v>80111600</v>
      </c>
      <c r="I617" s="203" t="s">
        <v>572</v>
      </c>
      <c r="J617" s="202">
        <v>1</v>
      </c>
      <c r="K617" s="202">
        <v>1</v>
      </c>
      <c r="L617" s="202">
        <v>12</v>
      </c>
      <c r="M617" s="185">
        <f t="shared" si="150"/>
        <v>1</v>
      </c>
      <c r="N617" s="193" t="s">
        <v>210</v>
      </c>
      <c r="O617" s="194" t="s">
        <v>264</v>
      </c>
      <c r="P617" s="211">
        <f t="shared" si="152"/>
        <v>1</v>
      </c>
      <c r="Q617" s="196">
        <f t="shared" si="146"/>
        <v>288000000</v>
      </c>
      <c r="R617" s="196">
        <f t="shared" si="147"/>
        <v>288000000</v>
      </c>
      <c r="S617" s="201" t="s">
        <v>217</v>
      </c>
      <c r="T617" s="211">
        <f t="shared" si="153"/>
        <v>0</v>
      </c>
      <c r="U617" s="198" t="str">
        <f t="shared" si="151"/>
        <v>SUBDIRECCION DE GESTION CONTRACTUAL</v>
      </c>
      <c r="V617" s="211" t="str">
        <f t="shared" si="148"/>
        <v>CO-DC</v>
      </c>
      <c r="W617" s="211" t="str">
        <f t="shared" si="149"/>
        <v>Distrito Capital de Bogotá</v>
      </c>
      <c r="X617" s="209" t="s">
        <v>1006</v>
      </c>
      <c r="Y617" s="202">
        <v>2427401</v>
      </c>
      <c r="Z617" s="127" t="s">
        <v>1007</v>
      </c>
      <c r="AA617" s="134"/>
      <c r="AB617" s="134"/>
      <c r="AC617" s="134"/>
      <c r="AD617" s="134"/>
      <c r="AE617" s="134"/>
      <c r="AF617" s="134"/>
      <c r="AG617" s="134"/>
      <c r="AH617" s="134"/>
      <c r="AI617" s="134"/>
      <c r="AJ617" s="134"/>
      <c r="AK617" s="134"/>
      <c r="AL617" s="134"/>
      <c r="AM617" s="134"/>
      <c r="AN617" s="134"/>
      <c r="AO617" s="134"/>
      <c r="AP617" s="134"/>
      <c r="AQ617" s="134"/>
      <c r="AR617" s="134"/>
      <c r="AS617" s="134"/>
      <c r="AT617" s="134"/>
      <c r="AU617" s="132"/>
      <c r="AV617" s="132"/>
      <c r="AW617" s="132"/>
      <c r="AX617" s="132"/>
      <c r="AY617" s="132"/>
      <c r="AZ617" s="132"/>
      <c r="BA617" s="132"/>
      <c r="BB617" s="132"/>
      <c r="BC617" s="132"/>
      <c r="BD617" s="132"/>
      <c r="BE617" s="132"/>
      <c r="BF617" s="132"/>
      <c r="BG617" s="132"/>
      <c r="BH617" s="132"/>
      <c r="BI617" s="132"/>
      <c r="BJ617" s="132"/>
      <c r="BK617" s="132"/>
      <c r="BL617" s="132"/>
      <c r="BM617" s="132"/>
      <c r="BN617" s="132"/>
      <c r="BO617" s="132"/>
      <c r="BP617" s="132"/>
      <c r="BQ617" s="132"/>
      <c r="BR617" s="132"/>
      <c r="BS617" s="132"/>
      <c r="BT617" s="132"/>
      <c r="BU617" s="132"/>
      <c r="BV617" s="132"/>
      <c r="BW617" s="132"/>
      <c r="BX617" s="132"/>
      <c r="BY617" s="132"/>
      <c r="BZ617" s="132"/>
      <c r="CA617" s="132"/>
      <c r="CB617" s="132"/>
      <c r="CC617" s="132"/>
      <c r="CD617" s="132"/>
      <c r="CE617" s="132"/>
      <c r="CF617" s="132"/>
      <c r="CG617" s="140"/>
    </row>
    <row r="618" spans="1:85" s="139" customFormat="1" ht="13.9" customHeight="1" x14ac:dyDescent="0.2">
      <c r="A618" s="208" t="s">
        <v>143</v>
      </c>
      <c r="B618" s="202">
        <v>30</v>
      </c>
      <c r="C618" s="203" t="s">
        <v>496</v>
      </c>
      <c r="D618" s="209" t="s">
        <v>764</v>
      </c>
      <c r="E618" s="210"/>
      <c r="F618" s="210">
        <f>1500000000-1500000000</f>
        <v>0</v>
      </c>
      <c r="G618" s="210"/>
      <c r="H618" s="209" t="s">
        <v>705</v>
      </c>
      <c r="I618" s="203" t="s">
        <v>576</v>
      </c>
      <c r="J618" s="202">
        <v>3</v>
      </c>
      <c r="K618" s="202">
        <v>3</v>
      </c>
      <c r="L618" s="202">
        <v>9</v>
      </c>
      <c r="M618" s="185">
        <f t="shared" si="150"/>
        <v>1</v>
      </c>
      <c r="N618" s="193" t="s">
        <v>36</v>
      </c>
      <c r="O618" s="194" t="s">
        <v>256</v>
      </c>
      <c r="P618" s="211">
        <f t="shared" si="152"/>
        <v>1</v>
      </c>
      <c r="Q618" s="196">
        <f t="shared" si="146"/>
        <v>0</v>
      </c>
      <c r="R618" s="196">
        <f t="shared" si="147"/>
        <v>0</v>
      </c>
      <c r="S618" s="201" t="s">
        <v>217</v>
      </c>
      <c r="T618" s="211">
        <f t="shared" si="153"/>
        <v>0</v>
      </c>
      <c r="U618" s="198" t="str">
        <f t="shared" si="151"/>
        <v>SUBDIRECCION DE GESTION CONTRACTUAL</v>
      </c>
      <c r="V618" s="211" t="str">
        <f t="shared" si="148"/>
        <v>CO-DC</v>
      </c>
      <c r="W618" s="211" t="str">
        <f t="shared" si="149"/>
        <v>Distrito Capital de Bogotá</v>
      </c>
      <c r="X618" s="209" t="s">
        <v>1006</v>
      </c>
      <c r="Y618" s="202">
        <v>2427401</v>
      </c>
      <c r="Z618" s="127" t="s">
        <v>1007</v>
      </c>
      <c r="AA618" s="134"/>
      <c r="AB618" s="134"/>
      <c r="AC618" s="134"/>
      <c r="AD618" s="134"/>
      <c r="AE618" s="134"/>
      <c r="AF618" s="134"/>
      <c r="AG618" s="134"/>
      <c r="AH618" s="134"/>
      <c r="AI618" s="134"/>
      <c r="AJ618" s="134"/>
      <c r="AK618" s="134"/>
      <c r="AL618" s="134"/>
      <c r="AM618" s="134"/>
      <c r="AN618" s="134"/>
      <c r="AO618" s="134"/>
      <c r="AP618" s="134"/>
      <c r="AQ618" s="134"/>
      <c r="AR618" s="134"/>
      <c r="AS618" s="134"/>
      <c r="AT618" s="134"/>
      <c r="AU618" s="132"/>
      <c r="AV618" s="132"/>
      <c r="AW618" s="132"/>
      <c r="AX618" s="132"/>
      <c r="AY618" s="132"/>
      <c r="AZ618" s="132"/>
      <c r="BA618" s="132"/>
      <c r="BB618" s="132"/>
      <c r="BC618" s="132"/>
      <c r="BD618" s="132"/>
      <c r="BE618" s="132"/>
      <c r="BF618" s="132"/>
      <c r="BG618" s="132"/>
      <c r="BH618" s="132"/>
      <c r="BI618" s="132"/>
      <c r="BJ618" s="132"/>
      <c r="BK618" s="132"/>
      <c r="BL618" s="132"/>
      <c r="BM618" s="132"/>
      <c r="BN618" s="132"/>
      <c r="BO618" s="132"/>
      <c r="BP618" s="132"/>
      <c r="BQ618" s="132"/>
      <c r="BR618" s="132"/>
      <c r="BS618" s="132"/>
      <c r="BT618" s="132"/>
      <c r="BU618" s="132"/>
      <c r="BV618" s="132"/>
      <c r="BW618" s="132"/>
      <c r="BX618" s="132"/>
      <c r="BY618" s="132"/>
      <c r="BZ618" s="132"/>
      <c r="CA618" s="132"/>
      <c r="CB618" s="132"/>
      <c r="CC618" s="132"/>
      <c r="CD618" s="132"/>
      <c r="CE618" s="132"/>
      <c r="CF618" s="132"/>
      <c r="CG618" s="140"/>
    </row>
    <row r="619" spans="1:85" s="139" customFormat="1" ht="13.9" customHeight="1" x14ac:dyDescent="0.2">
      <c r="A619" s="208" t="s">
        <v>143</v>
      </c>
      <c r="B619" s="202">
        <v>31</v>
      </c>
      <c r="C619" s="203" t="s">
        <v>496</v>
      </c>
      <c r="D619" s="209" t="s">
        <v>764</v>
      </c>
      <c r="E619" s="210"/>
      <c r="F619" s="210">
        <v>1500000000</v>
      </c>
      <c r="G619" s="210"/>
      <c r="H619" s="209" t="s">
        <v>794</v>
      </c>
      <c r="I619" s="203" t="s">
        <v>793</v>
      </c>
      <c r="J619" s="202">
        <v>3</v>
      </c>
      <c r="K619" s="202">
        <v>3</v>
      </c>
      <c r="L619" s="202">
        <v>9</v>
      </c>
      <c r="M619" s="185">
        <f t="shared" si="150"/>
        <v>1</v>
      </c>
      <c r="N619" s="193" t="s">
        <v>36</v>
      </c>
      <c r="O619" s="194" t="s">
        <v>256</v>
      </c>
      <c r="P619" s="211">
        <f t="shared" si="152"/>
        <v>1</v>
      </c>
      <c r="Q619" s="196">
        <f t="shared" si="146"/>
        <v>1500000000</v>
      </c>
      <c r="R619" s="196">
        <f t="shared" si="147"/>
        <v>1500000000</v>
      </c>
      <c r="S619" s="201" t="s">
        <v>217</v>
      </c>
      <c r="T619" s="211">
        <f t="shared" si="153"/>
        <v>0</v>
      </c>
      <c r="U619" s="198" t="str">
        <f t="shared" si="151"/>
        <v>SUBDIRECCION DE GESTION CONTRACTUAL</v>
      </c>
      <c r="V619" s="211" t="str">
        <f t="shared" si="148"/>
        <v>CO-DC</v>
      </c>
      <c r="W619" s="211" t="str">
        <f t="shared" si="149"/>
        <v>Distrito Capital de Bogotá</v>
      </c>
      <c r="X619" s="209" t="s">
        <v>1006</v>
      </c>
      <c r="Y619" s="202">
        <v>2427401</v>
      </c>
      <c r="Z619" s="127" t="s">
        <v>1007</v>
      </c>
      <c r="AA619" s="134"/>
      <c r="AB619" s="134"/>
      <c r="AC619" s="134"/>
      <c r="AD619" s="134"/>
      <c r="AE619" s="134"/>
      <c r="AF619" s="134"/>
      <c r="AG619" s="134"/>
      <c r="AH619" s="134"/>
      <c r="AI619" s="134"/>
      <c r="AJ619" s="134"/>
      <c r="AK619" s="134"/>
      <c r="AL619" s="134"/>
      <c r="AM619" s="134"/>
      <c r="AN619" s="134"/>
      <c r="AO619" s="134"/>
      <c r="AP619" s="134"/>
      <c r="AQ619" s="134"/>
      <c r="AR619" s="134"/>
      <c r="AS619" s="134"/>
      <c r="AT619" s="134"/>
      <c r="AU619" s="132"/>
      <c r="AV619" s="132"/>
      <c r="AW619" s="132"/>
      <c r="AX619" s="132"/>
      <c r="AY619" s="132"/>
      <c r="AZ619" s="132"/>
      <c r="BA619" s="132"/>
      <c r="BB619" s="132"/>
      <c r="BC619" s="132"/>
      <c r="BD619" s="132"/>
      <c r="BE619" s="132"/>
      <c r="BF619" s="132"/>
      <c r="BG619" s="132"/>
      <c r="BH619" s="132"/>
      <c r="BI619" s="132"/>
      <c r="BJ619" s="132"/>
      <c r="BK619" s="132"/>
      <c r="BL619" s="132"/>
      <c r="BM619" s="132"/>
      <c r="BN619" s="132"/>
      <c r="BO619" s="132"/>
      <c r="BP619" s="132"/>
      <c r="BQ619" s="132"/>
      <c r="BR619" s="132"/>
      <c r="BS619" s="132"/>
      <c r="BT619" s="132"/>
      <c r="BU619" s="132"/>
      <c r="BV619" s="132"/>
      <c r="BW619" s="132"/>
      <c r="BX619" s="132"/>
      <c r="BY619" s="132"/>
      <c r="BZ619" s="132"/>
      <c r="CA619" s="132"/>
      <c r="CB619" s="132"/>
      <c r="CC619" s="132"/>
      <c r="CD619" s="132"/>
      <c r="CE619" s="132"/>
      <c r="CF619" s="132"/>
      <c r="CG619" s="140"/>
    </row>
    <row r="620" spans="1:85" s="139" customFormat="1" ht="13.9" customHeight="1" x14ac:dyDescent="0.2">
      <c r="A620" s="208" t="s">
        <v>143</v>
      </c>
      <c r="B620" s="202">
        <v>32</v>
      </c>
      <c r="C620" s="203" t="s">
        <v>497</v>
      </c>
      <c r="D620" s="209" t="s">
        <v>764</v>
      </c>
      <c r="E620" s="210"/>
      <c r="F620" s="210">
        <v>3134000000</v>
      </c>
      <c r="G620" s="210"/>
      <c r="H620" s="209">
        <v>80111600</v>
      </c>
      <c r="I620" s="203" t="s">
        <v>572</v>
      </c>
      <c r="J620" s="202">
        <v>1</v>
      </c>
      <c r="K620" s="202">
        <v>1</v>
      </c>
      <c r="L620" s="202">
        <v>12</v>
      </c>
      <c r="M620" s="185">
        <f t="shared" si="150"/>
        <v>1</v>
      </c>
      <c r="N620" s="193" t="s">
        <v>210</v>
      </c>
      <c r="O620" s="194" t="s">
        <v>264</v>
      </c>
      <c r="P620" s="211">
        <f t="shared" si="152"/>
        <v>1</v>
      </c>
      <c r="Q620" s="196">
        <f t="shared" si="146"/>
        <v>3134000000</v>
      </c>
      <c r="R620" s="196">
        <f t="shared" si="147"/>
        <v>3134000000</v>
      </c>
      <c r="S620" s="201" t="s">
        <v>217</v>
      </c>
      <c r="T620" s="211">
        <f t="shared" si="153"/>
        <v>0</v>
      </c>
      <c r="U620" s="198" t="str">
        <f t="shared" si="151"/>
        <v>SUBDIRECCION DE GESTION CONTRACTUAL</v>
      </c>
      <c r="V620" s="211" t="str">
        <f t="shared" si="148"/>
        <v>CO-DC</v>
      </c>
      <c r="W620" s="211" t="str">
        <f t="shared" si="149"/>
        <v>Distrito Capital de Bogotá</v>
      </c>
      <c r="X620" s="209" t="s">
        <v>1006</v>
      </c>
      <c r="Y620" s="202">
        <v>2427401</v>
      </c>
      <c r="Z620" s="127" t="s">
        <v>1007</v>
      </c>
      <c r="AA620" s="134"/>
      <c r="AB620" s="134"/>
      <c r="AC620" s="134"/>
      <c r="AD620" s="134"/>
      <c r="AE620" s="134"/>
      <c r="AF620" s="134"/>
      <c r="AG620" s="134"/>
      <c r="AH620" s="134"/>
      <c r="AI620" s="134"/>
      <c r="AJ620" s="134"/>
      <c r="AK620" s="134"/>
      <c r="AL620" s="134"/>
      <c r="AM620" s="134"/>
      <c r="AN620" s="134"/>
      <c r="AO620" s="134"/>
      <c r="AP620" s="134"/>
      <c r="AQ620" s="134"/>
      <c r="AR620" s="134"/>
      <c r="AS620" s="134"/>
      <c r="AT620" s="134"/>
      <c r="AU620" s="132"/>
      <c r="AV620" s="132"/>
      <c r="AW620" s="132"/>
      <c r="AX620" s="132"/>
      <c r="AY620" s="132"/>
      <c r="AZ620" s="132"/>
      <c r="BA620" s="132"/>
      <c r="BB620" s="132"/>
      <c r="BC620" s="132"/>
      <c r="BD620" s="132"/>
      <c r="BE620" s="132"/>
      <c r="BF620" s="132"/>
      <c r="BG620" s="132"/>
      <c r="BH620" s="132"/>
      <c r="BI620" s="132"/>
      <c r="BJ620" s="132"/>
      <c r="BK620" s="132"/>
      <c r="BL620" s="132"/>
      <c r="BM620" s="132"/>
      <c r="BN620" s="132"/>
      <c r="BO620" s="132"/>
      <c r="BP620" s="132"/>
      <c r="BQ620" s="132"/>
      <c r="BR620" s="132"/>
      <c r="BS620" s="132"/>
      <c r="BT620" s="132"/>
      <c r="BU620" s="132"/>
      <c r="BV620" s="132"/>
      <c r="BW620" s="132"/>
      <c r="BX620" s="132"/>
      <c r="BY620" s="132"/>
      <c r="BZ620" s="132"/>
      <c r="CA620" s="132"/>
      <c r="CB620" s="132"/>
      <c r="CC620" s="132"/>
      <c r="CD620" s="132"/>
      <c r="CE620" s="132"/>
      <c r="CF620" s="132"/>
      <c r="CG620" s="140"/>
    </row>
    <row r="621" spans="1:85" s="139" customFormat="1" ht="13.9" customHeight="1" x14ac:dyDescent="0.2">
      <c r="A621" s="208" t="s">
        <v>143</v>
      </c>
      <c r="B621" s="202">
        <v>33</v>
      </c>
      <c r="C621" s="203" t="s">
        <v>497</v>
      </c>
      <c r="D621" s="209" t="s">
        <v>764</v>
      </c>
      <c r="E621" s="210"/>
      <c r="F621" s="210">
        <v>160100000</v>
      </c>
      <c r="G621" s="210"/>
      <c r="H621" s="188" t="s">
        <v>710</v>
      </c>
      <c r="I621" s="203" t="s">
        <v>540</v>
      </c>
      <c r="J621" s="206">
        <v>1</v>
      </c>
      <c r="K621" s="206">
        <v>2</v>
      </c>
      <c r="L621" s="206">
        <v>3</v>
      </c>
      <c r="M621" s="185">
        <f t="shared" si="150"/>
        <v>1</v>
      </c>
      <c r="N621" s="193" t="s">
        <v>36</v>
      </c>
      <c r="O621" s="194" t="s">
        <v>256</v>
      </c>
      <c r="P621" s="211">
        <v>1</v>
      </c>
      <c r="Q621" s="196">
        <f t="shared" si="146"/>
        <v>160100000</v>
      </c>
      <c r="R621" s="196">
        <f t="shared" si="147"/>
        <v>160100000</v>
      </c>
      <c r="S621" s="201" t="s">
        <v>217</v>
      </c>
      <c r="T621" s="211">
        <v>0</v>
      </c>
      <c r="U621" s="198" t="str">
        <f t="shared" si="151"/>
        <v>SUBDIRECCION DE GESTION CONTRACTUAL</v>
      </c>
      <c r="V621" s="211" t="str">
        <f t="shared" si="148"/>
        <v>CO-DC</v>
      </c>
      <c r="W621" s="211" t="str">
        <f t="shared" si="149"/>
        <v>Distrito Capital de Bogotá</v>
      </c>
      <c r="X621" s="209" t="s">
        <v>1006</v>
      </c>
      <c r="Y621" s="202">
        <v>2427401</v>
      </c>
      <c r="Z621" s="127" t="s">
        <v>1007</v>
      </c>
      <c r="AA621" s="134"/>
      <c r="AB621" s="134"/>
      <c r="AC621" s="134"/>
      <c r="AD621" s="134"/>
      <c r="AE621" s="134"/>
      <c r="AF621" s="134"/>
      <c r="AG621" s="134"/>
      <c r="AH621" s="134"/>
      <c r="AI621" s="134"/>
      <c r="AJ621" s="134"/>
      <c r="AK621" s="134"/>
      <c r="AL621" s="134"/>
      <c r="AM621" s="134"/>
      <c r="AN621" s="134"/>
      <c r="AO621" s="134"/>
      <c r="AP621" s="134"/>
      <c r="AQ621" s="134"/>
      <c r="AR621" s="134"/>
      <c r="AS621" s="134"/>
      <c r="AT621" s="134"/>
      <c r="AU621" s="132"/>
      <c r="AV621" s="132"/>
      <c r="AW621" s="132"/>
      <c r="AX621" s="132"/>
      <c r="AY621" s="132"/>
      <c r="AZ621" s="132"/>
      <c r="BA621" s="132"/>
      <c r="BB621" s="132"/>
      <c r="BC621" s="132"/>
      <c r="BD621" s="132"/>
      <c r="BE621" s="132"/>
      <c r="BF621" s="132"/>
      <c r="BG621" s="132"/>
      <c r="BH621" s="132"/>
      <c r="BI621" s="132"/>
      <c r="BJ621" s="132"/>
      <c r="BK621" s="132"/>
      <c r="BL621" s="132"/>
      <c r="BM621" s="132"/>
      <c r="BN621" s="132"/>
      <c r="BO621" s="132"/>
      <c r="BP621" s="132"/>
      <c r="BQ621" s="132"/>
      <c r="BR621" s="132"/>
      <c r="BS621" s="132"/>
      <c r="BT621" s="132"/>
      <c r="BU621" s="132"/>
      <c r="BV621" s="132"/>
      <c r="BW621" s="132"/>
      <c r="BX621" s="132"/>
      <c r="BY621" s="132"/>
      <c r="BZ621" s="132"/>
      <c r="CA621" s="132"/>
      <c r="CB621" s="132"/>
      <c r="CC621" s="132"/>
      <c r="CD621" s="132"/>
      <c r="CE621" s="132"/>
      <c r="CF621" s="132"/>
      <c r="CG621" s="140"/>
    </row>
    <row r="622" spans="1:85" s="139" customFormat="1" ht="13.9" customHeight="1" x14ac:dyDescent="0.2">
      <c r="A622" s="208" t="s">
        <v>143</v>
      </c>
      <c r="B622" s="202">
        <v>34</v>
      </c>
      <c r="C622" s="203" t="s">
        <v>497</v>
      </c>
      <c r="D622" s="209" t="s">
        <v>764</v>
      </c>
      <c r="E622" s="210"/>
      <c r="F622" s="210">
        <v>2739900000</v>
      </c>
      <c r="G622" s="210"/>
      <c r="H622" s="188" t="s">
        <v>710</v>
      </c>
      <c r="I622" s="203" t="s">
        <v>540</v>
      </c>
      <c r="J622" s="190">
        <v>2</v>
      </c>
      <c r="K622" s="191">
        <v>3</v>
      </c>
      <c r="L622" s="192">
        <v>9</v>
      </c>
      <c r="M622" s="185">
        <f t="shared" si="150"/>
        <v>1</v>
      </c>
      <c r="N622" s="193" t="s">
        <v>221</v>
      </c>
      <c r="O622" s="194" t="s">
        <v>903</v>
      </c>
      <c r="P622" s="211">
        <f t="shared" ref="P622:P629" si="154">IF(ISBLANK(N622),"",1)</f>
        <v>1</v>
      </c>
      <c r="Q622" s="196">
        <f t="shared" si="146"/>
        <v>2739900000</v>
      </c>
      <c r="R622" s="196">
        <f t="shared" si="147"/>
        <v>2739900000</v>
      </c>
      <c r="S622" s="201" t="s">
        <v>217</v>
      </c>
      <c r="T622" s="211">
        <f t="shared" ref="T622:T629" si="155">IF(ISBLANK(S622),"",IF(VALUE(S622)=0,0,IF(VALUE(S622)=1,3,"")))</f>
        <v>0</v>
      </c>
      <c r="U622" s="198" t="str">
        <f t="shared" si="151"/>
        <v>SUBDIRECCION DE GESTION CONTRACTUAL</v>
      </c>
      <c r="V622" s="211" t="str">
        <f t="shared" si="148"/>
        <v>CO-DC</v>
      </c>
      <c r="W622" s="211" t="str">
        <f t="shared" si="149"/>
        <v>Distrito Capital de Bogotá</v>
      </c>
      <c r="X622" s="209" t="s">
        <v>1006</v>
      </c>
      <c r="Y622" s="202">
        <v>2427401</v>
      </c>
      <c r="Z622" s="127" t="s">
        <v>1007</v>
      </c>
      <c r="AA622" s="134"/>
      <c r="AB622" s="134"/>
      <c r="AC622" s="134"/>
      <c r="AD622" s="134"/>
      <c r="AE622" s="134"/>
      <c r="AF622" s="134"/>
      <c r="AG622" s="134"/>
      <c r="AH622" s="134"/>
      <c r="AI622" s="134"/>
      <c r="AJ622" s="134"/>
      <c r="AK622" s="134"/>
      <c r="AL622" s="134"/>
      <c r="AM622" s="134"/>
      <c r="AN622" s="134"/>
      <c r="AO622" s="134"/>
      <c r="AP622" s="134"/>
      <c r="AQ622" s="134"/>
      <c r="AR622" s="134"/>
      <c r="AS622" s="134"/>
      <c r="AT622" s="134"/>
      <c r="AU622" s="132"/>
      <c r="AV622" s="132"/>
      <c r="AW622" s="132"/>
      <c r="AX622" s="132"/>
      <c r="AY622" s="132"/>
      <c r="AZ622" s="132"/>
      <c r="BA622" s="132"/>
      <c r="BB622" s="132"/>
      <c r="BC622" s="132"/>
      <c r="BD622" s="132"/>
      <c r="BE622" s="132"/>
      <c r="BF622" s="132"/>
      <c r="BG622" s="132"/>
      <c r="BH622" s="132"/>
      <c r="BI622" s="132"/>
      <c r="BJ622" s="132"/>
      <c r="BK622" s="132"/>
      <c r="BL622" s="132"/>
      <c r="BM622" s="132"/>
      <c r="BN622" s="132"/>
      <c r="BO622" s="132"/>
      <c r="BP622" s="132"/>
      <c r="BQ622" s="132"/>
      <c r="BR622" s="132"/>
      <c r="BS622" s="132"/>
      <c r="BT622" s="132"/>
      <c r="BU622" s="132"/>
      <c r="BV622" s="132"/>
      <c r="BW622" s="132"/>
      <c r="BX622" s="132"/>
      <c r="BY622" s="132"/>
      <c r="BZ622" s="132"/>
      <c r="CA622" s="132"/>
      <c r="CB622" s="132"/>
      <c r="CC622" s="132"/>
      <c r="CD622" s="132"/>
      <c r="CE622" s="132"/>
      <c r="CF622" s="132"/>
      <c r="CG622" s="140"/>
    </row>
    <row r="623" spans="1:85" s="139" customFormat="1" ht="13.9" customHeight="1" x14ac:dyDescent="0.2">
      <c r="A623" s="208" t="s">
        <v>143</v>
      </c>
      <c r="B623" s="202">
        <v>35</v>
      </c>
      <c r="C623" s="203" t="s">
        <v>497</v>
      </c>
      <c r="D623" s="209" t="s">
        <v>764</v>
      </c>
      <c r="E623" s="210"/>
      <c r="F623" s="210">
        <v>450000000</v>
      </c>
      <c r="G623" s="210"/>
      <c r="H623" s="188" t="s">
        <v>42</v>
      </c>
      <c r="I623" s="203" t="s">
        <v>543</v>
      </c>
      <c r="J623" s="190">
        <v>3</v>
      </c>
      <c r="K623" s="191">
        <v>4</v>
      </c>
      <c r="L623" s="192">
        <v>9</v>
      </c>
      <c r="M623" s="185">
        <f t="shared" si="150"/>
        <v>1</v>
      </c>
      <c r="N623" s="193" t="s">
        <v>61</v>
      </c>
      <c r="O623" s="194" t="s">
        <v>902</v>
      </c>
      <c r="P623" s="211">
        <f t="shared" si="154"/>
        <v>1</v>
      </c>
      <c r="Q623" s="196">
        <f t="shared" si="146"/>
        <v>450000000</v>
      </c>
      <c r="R623" s="196">
        <f t="shared" si="147"/>
        <v>450000000</v>
      </c>
      <c r="S623" s="201" t="s">
        <v>217</v>
      </c>
      <c r="T623" s="211">
        <f t="shared" si="155"/>
        <v>0</v>
      </c>
      <c r="U623" s="198" t="str">
        <f t="shared" si="151"/>
        <v>SUBDIRECCION DE GESTION CONTRACTUAL</v>
      </c>
      <c r="V623" s="185" t="str">
        <f t="shared" si="148"/>
        <v>CO-DC</v>
      </c>
      <c r="W623" s="198" t="str">
        <f t="shared" si="149"/>
        <v>Distrito Capital de Bogotá</v>
      </c>
      <c r="X623" s="199" t="s">
        <v>321</v>
      </c>
      <c r="Y623" s="202">
        <v>2427401</v>
      </c>
      <c r="Z623" s="212" t="s">
        <v>75</v>
      </c>
      <c r="AA623" s="134"/>
      <c r="AB623" s="134"/>
      <c r="AC623" s="134"/>
      <c r="AD623" s="134"/>
      <c r="AE623" s="134"/>
      <c r="AF623" s="134"/>
      <c r="AG623" s="134"/>
      <c r="AH623" s="134"/>
      <c r="AI623" s="134"/>
      <c r="AJ623" s="134"/>
      <c r="AK623" s="134"/>
      <c r="AL623" s="134"/>
      <c r="AM623" s="134"/>
      <c r="AN623" s="134"/>
      <c r="AO623" s="134"/>
      <c r="AP623" s="134"/>
      <c r="AQ623" s="134"/>
      <c r="AR623" s="134"/>
      <c r="AS623" s="134"/>
      <c r="AT623" s="134"/>
      <c r="AU623" s="132"/>
      <c r="AV623" s="132"/>
      <c r="AW623" s="132"/>
      <c r="AX623" s="132"/>
      <c r="AY623" s="132"/>
      <c r="AZ623" s="132"/>
      <c r="BA623" s="132"/>
      <c r="BB623" s="132"/>
      <c r="BC623" s="132"/>
      <c r="BD623" s="132"/>
      <c r="BE623" s="132"/>
      <c r="BF623" s="132"/>
      <c r="BG623" s="132"/>
      <c r="BH623" s="132"/>
      <c r="BI623" s="132"/>
      <c r="BJ623" s="132"/>
      <c r="BK623" s="132"/>
      <c r="BL623" s="132"/>
      <c r="BM623" s="132"/>
      <c r="BN623" s="132"/>
      <c r="BO623" s="132"/>
      <c r="BP623" s="132"/>
      <c r="BQ623" s="132"/>
      <c r="BR623" s="132"/>
      <c r="BS623" s="132"/>
      <c r="BT623" s="132"/>
      <c r="BU623" s="132"/>
      <c r="BV623" s="132"/>
      <c r="BW623" s="132"/>
      <c r="BX623" s="132"/>
      <c r="BY623" s="132"/>
      <c r="BZ623" s="132"/>
      <c r="CA623" s="132"/>
      <c r="CB623" s="132"/>
      <c r="CC623" s="132"/>
      <c r="CD623" s="132"/>
      <c r="CE623" s="132"/>
      <c r="CF623" s="132"/>
      <c r="CG623" s="140"/>
    </row>
    <row r="624" spans="1:85" s="139" customFormat="1" ht="13.9" customHeight="1" x14ac:dyDescent="0.2">
      <c r="A624" s="208" t="s">
        <v>143</v>
      </c>
      <c r="B624" s="202">
        <v>36</v>
      </c>
      <c r="C624" s="203" t="s">
        <v>497</v>
      </c>
      <c r="D624" s="209" t="s">
        <v>764</v>
      </c>
      <c r="E624" s="210"/>
      <c r="F624" s="210">
        <f>438000000-438000000</f>
        <v>0</v>
      </c>
      <c r="G624" s="210"/>
      <c r="H624" s="209" t="s">
        <v>759</v>
      </c>
      <c r="I624" s="203" t="s">
        <v>575</v>
      </c>
      <c r="J624" s="202">
        <v>4</v>
      </c>
      <c r="K624" s="202">
        <v>4</v>
      </c>
      <c r="L624" s="202">
        <v>8</v>
      </c>
      <c r="M624" s="185">
        <f t="shared" si="150"/>
        <v>1</v>
      </c>
      <c r="N624" s="193" t="s">
        <v>36</v>
      </c>
      <c r="O624" s="194" t="s">
        <v>256</v>
      </c>
      <c r="P624" s="211">
        <f t="shared" si="154"/>
        <v>1</v>
      </c>
      <c r="Q624" s="196">
        <f t="shared" si="146"/>
        <v>0</v>
      </c>
      <c r="R624" s="196">
        <f t="shared" si="147"/>
        <v>0</v>
      </c>
      <c r="S624" s="201" t="s">
        <v>217</v>
      </c>
      <c r="T624" s="211">
        <f t="shared" si="155"/>
        <v>0</v>
      </c>
      <c r="U624" s="198" t="str">
        <f t="shared" si="151"/>
        <v>SUBDIRECCION DE GESTION CONTRACTUAL</v>
      </c>
      <c r="V624" s="211" t="str">
        <f t="shared" si="148"/>
        <v>CO-DC</v>
      </c>
      <c r="W624" s="211" t="str">
        <f t="shared" si="149"/>
        <v>Distrito Capital de Bogotá</v>
      </c>
      <c r="X624" s="209" t="s">
        <v>1006</v>
      </c>
      <c r="Y624" s="202">
        <v>2427401</v>
      </c>
      <c r="Z624" s="127" t="s">
        <v>1007</v>
      </c>
      <c r="AA624" s="134"/>
      <c r="AB624" s="134"/>
      <c r="AC624" s="134"/>
      <c r="AD624" s="134"/>
      <c r="AE624" s="134"/>
      <c r="AF624" s="134"/>
      <c r="AG624" s="134"/>
      <c r="AH624" s="134"/>
      <c r="AI624" s="134"/>
      <c r="AJ624" s="134"/>
      <c r="AK624" s="134"/>
      <c r="AL624" s="134"/>
      <c r="AM624" s="134"/>
      <c r="AN624" s="134"/>
      <c r="AO624" s="134"/>
      <c r="AP624" s="134"/>
      <c r="AQ624" s="134"/>
      <c r="AR624" s="134"/>
      <c r="AS624" s="134"/>
      <c r="AT624" s="134"/>
      <c r="AU624" s="132"/>
      <c r="AV624" s="132"/>
      <c r="AW624" s="132"/>
      <c r="AX624" s="132"/>
      <c r="AY624" s="132"/>
      <c r="AZ624" s="132"/>
      <c r="BA624" s="132"/>
      <c r="BB624" s="132"/>
      <c r="BC624" s="132"/>
      <c r="BD624" s="132"/>
      <c r="BE624" s="132"/>
      <c r="BF624" s="132"/>
      <c r="BG624" s="132"/>
      <c r="BH624" s="132"/>
      <c r="BI624" s="132"/>
      <c r="BJ624" s="132"/>
      <c r="BK624" s="132"/>
      <c r="BL624" s="132"/>
      <c r="BM624" s="132"/>
      <c r="BN624" s="132"/>
      <c r="BO624" s="132"/>
      <c r="BP624" s="132"/>
      <c r="BQ624" s="132"/>
      <c r="BR624" s="132"/>
      <c r="BS624" s="132"/>
      <c r="BT624" s="132"/>
      <c r="BU624" s="132"/>
      <c r="BV624" s="132"/>
      <c r="BW624" s="132"/>
      <c r="BX624" s="132"/>
      <c r="BY624" s="132"/>
      <c r="BZ624" s="132"/>
      <c r="CA624" s="132"/>
      <c r="CB624" s="132"/>
      <c r="CC624" s="132"/>
      <c r="CD624" s="132"/>
      <c r="CE624" s="132"/>
      <c r="CF624" s="132"/>
      <c r="CG624" s="140"/>
    </row>
    <row r="625" spans="1:85" s="139" customFormat="1" ht="12.75" customHeight="1" x14ac:dyDescent="0.2">
      <c r="A625" s="208" t="s">
        <v>143</v>
      </c>
      <c r="B625" s="202">
        <v>37</v>
      </c>
      <c r="C625" s="203" t="s">
        <v>498</v>
      </c>
      <c r="D625" s="209" t="s">
        <v>764</v>
      </c>
      <c r="E625" s="210"/>
      <c r="F625" s="210">
        <f>576000000-576000000</f>
        <v>0</v>
      </c>
      <c r="G625" s="210"/>
      <c r="H625" s="209" t="s">
        <v>759</v>
      </c>
      <c r="I625" s="203" t="s">
        <v>575</v>
      </c>
      <c r="J625" s="202">
        <v>4</v>
      </c>
      <c r="K625" s="202">
        <v>4</v>
      </c>
      <c r="L625" s="202">
        <v>8</v>
      </c>
      <c r="M625" s="185">
        <f t="shared" si="150"/>
        <v>1</v>
      </c>
      <c r="N625" s="193" t="s">
        <v>36</v>
      </c>
      <c r="O625" s="194" t="s">
        <v>256</v>
      </c>
      <c r="P625" s="211">
        <f t="shared" si="154"/>
        <v>1</v>
      </c>
      <c r="Q625" s="196">
        <f t="shared" si="146"/>
        <v>0</v>
      </c>
      <c r="R625" s="196">
        <f t="shared" si="147"/>
        <v>0</v>
      </c>
      <c r="S625" s="201" t="s">
        <v>217</v>
      </c>
      <c r="T625" s="211">
        <f t="shared" si="155"/>
        <v>0</v>
      </c>
      <c r="U625" s="198" t="str">
        <f t="shared" si="151"/>
        <v>SUBDIRECCION DE GESTION CONTRACTUAL</v>
      </c>
      <c r="V625" s="211" t="str">
        <f t="shared" si="148"/>
        <v>CO-DC</v>
      </c>
      <c r="W625" s="211" t="str">
        <f t="shared" si="149"/>
        <v>Distrito Capital de Bogotá</v>
      </c>
      <c r="X625" s="209" t="s">
        <v>1006</v>
      </c>
      <c r="Y625" s="202">
        <v>2427401</v>
      </c>
      <c r="Z625" s="127" t="s">
        <v>1007</v>
      </c>
      <c r="AA625" s="134"/>
      <c r="AB625" s="134"/>
      <c r="AC625" s="134"/>
      <c r="AD625" s="134"/>
      <c r="AE625" s="134"/>
      <c r="AF625" s="134"/>
      <c r="AG625" s="134"/>
      <c r="AH625" s="134"/>
      <c r="AI625" s="134"/>
      <c r="AJ625" s="134"/>
      <c r="AK625" s="134"/>
      <c r="AL625" s="134"/>
      <c r="AM625" s="134"/>
      <c r="AN625" s="134"/>
      <c r="AO625" s="134"/>
      <c r="AP625" s="134"/>
      <c r="AQ625" s="134"/>
      <c r="AR625" s="134"/>
      <c r="AS625" s="134"/>
      <c r="AT625" s="134"/>
      <c r="AU625" s="132"/>
      <c r="AV625" s="132"/>
      <c r="AW625" s="132"/>
      <c r="AX625" s="132"/>
      <c r="AY625" s="132"/>
      <c r="AZ625" s="132"/>
      <c r="BA625" s="132"/>
      <c r="BB625" s="132"/>
      <c r="BC625" s="132"/>
      <c r="BD625" s="132"/>
      <c r="BE625" s="132"/>
      <c r="BF625" s="132"/>
      <c r="BG625" s="132"/>
      <c r="BH625" s="132"/>
      <c r="BI625" s="132"/>
      <c r="BJ625" s="132"/>
      <c r="BK625" s="132"/>
      <c r="BL625" s="132"/>
      <c r="BM625" s="132"/>
      <c r="BN625" s="132"/>
      <c r="BO625" s="132"/>
      <c r="BP625" s="132"/>
      <c r="BQ625" s="132"/>
      <c r="BR625" s="132"/>
      <c r="BS625" s="132"/>
      <c r="BT625" s="132"/>
      <c r="BU625" s="132"/>
      <c r="BV625" s="132"/>
      <c r="BW625" s="132"/>
      <c r="BX625" s="132"/>
      <c r="BY625" s="132"/>
      <c r="BZ625" s="132"/>
      <c r="CA625" s="132"/>
      <c r="CB625" s="132"/>
      <c r="CC625" s="132"/>
      <c r="CD625" s="132"/>
      <c r="CE625" s="132"/>
      <c r="CF625" s="132"/>
      <c r="CG625" s="140"/>
    </row>
    <row r="626" spans="1:85" s="139" customFormat="1" ht="13.9" customHeight="1" x14ac:dyDescent="0.2">
      <c r="A626" s="208" t="s">
        <v>143</v>
      </c>
      <c r="B626" s="202">
        <v>38</v>
      </c>
      <c r="C626" s="203" t="s">
        <v>498</v>
      </c>
      <c r="D626" s="209" t="s">
        <v>764</v>
      </c>
      <c r="E626" s="210"/>
      <c r="F626" s="210">
        <f>4000000000-4000000000</f>
        <v>0</v>
      </c>
      <c r="G626" s="210"/>
      <c r="H626" s="209" t="s">
        <v>761</v>
      </c>
      <c r="I626" s="203" t="s">
        <v>574</v>
      </c>
      <c r="J626" s="202">
        <v>4</v>
      </c>
      <c r="K626" s="202">
        <v>4</v>
      </c>
      <c r="L626" s="202">
        <v>8</v>
      </c>
      <c r="M626" s="185">
        <f t="shared" si="150"/>
        <v>1</v>
      </c>
      <c r="N626" s="193" t="s">
        <v>36</v>
      </c>
      <c r="O626" s="194" t="s">
        <v>256</v>
      </c>
      <c r="P626" s="211">
        <f t="shared" si="154"/>
        <v>1</v>
      </c>
      <c r="Q626" s="196">
        <f t="shared" si="146"/>
        <v>0</v>
      </c>
      <c r="R626" s="196">
        <f t="shared" si="147"/>
        <v>0</v>
      </c>
      <c r="S626" s="201" t="s">
        <v>217</v>
      </c>
      <c r="T626" s="211">
        <f t="shared" si="155"/>
        <v>0</v>
      </c>
      <c r="U626" s="198" t="str">
        <f t="shared" si="151"/>
        <v>SUBDIRECCION DE GESTION CONTRACTUAL</v>
      </c>
      <c r="V626" s="211" t="str">
        <f t="shared" si="148"/>
        <v>CO-DC</v>
      </c>
      <c r="W626" s="211" t="str">
        <f t="shared" si="149"/>
        <v>Distrito Capital de Bogotá</v>
      </c>
      <c r="X626" s="209" t="s">
        <v>1006</v>
      </c>
      <c r="Y626" s="202">
        <v>2427401</v>
      </c>
      <c r="Z626" s="127" t="s">
        <v>1007</v>
      </c>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2"/>
      <c r="AV626" s="132"/>
      <c r="AW626" s="132"/>
      <c r="AX626" s="132"/>
      <c r="AY626" s="132"/>
      <c r="AZ626" s="132"/>
      <c r="BA626" s="132"/>
      <c r="BB626" s="132"/>
      <c r="BC626" s="132"/>
      <c r="BD626" s="132"/>
      <c r="BE626" s="132"/>
      <c r="BF626" s="132"/>
      <c r="BG626" s="132"/>
      <c r="BH626" s="132"/>
      <c r="BI626" s="132"/>
      <c r="BJ626" s="132"/>
      <c r="BK626" s="132"/>
      <c r="BL626" s="132"/>
      <c r="BM626" s="132"/>
      <c r="BN626" s="132"/>
      <c r="BO626" s="132"/>
      <c r="BP626" s="132"/>
      <c r="BQ626" s="132"/>
      <c r="BR626" s="132"/>
      <c r="BS626" s="132"/>
      <c r="BT626" s="132"/>
      <c r="BU626" s="132"/>
      <c r="BV626" s="132"/>
      <c r="BW626" s="132"/>
      <c r="BX626" s="132"/>
      <c r="BY626" s="132"/>
      <c r="BZ626" s="132"/>
      <c r="CA626" s="132"/>
      <c r="CB626" s="132"/>
      <c r="CC626" s="132"/>
      <c r="CD626" s="132"/>
      <c r="CE626" s="132"/>
      <c r="CF626" s="132"/>
      <c r="CG626" s="140"/>
    </row>
    <row r="627" spans="1:85" s="139" customFormat="1" ht="13.9" customHeight="1" x14ac:dyDescent="0.2">
      <c r="A627" s="208" t="s">
        <v>143</v>
      </c>
      <c r="B627" s="202">
        <v>39</v>
      </c>
      <c r="C627" s="203" t="s">
        <v>498</v>
      </c>
      <c r="D627" s="209" t="s">
        <v>764</v>
      </c>
      <c r="E627" s="210"/>
      <c r="F627" s="210">
        <f>4000000000-4000000000</f>
        <v>0</v>
      </c>
      <c r="G627" s="210"/>
      <c r="H627" s="209" t="s">
        <v>761</v>
      </c>
      <c r="I627" s="203" t="s">
        <v>574</v>
      </c>
      <c r="J627" s="202">
        <v>4</v>
      </c>
      <c r="K627" s="202">
        <v>4</v>
      </c>
      <c r="L627" s="202">
        <v>8</v>
      </c>
      <c r="M627" s="185">
        <f t="shared" si="150"/>
        <v>1</v>
      </c>
      <c r="N627" s="193" t="s">
        <v>36</v>
      </c>
      <c r="O627" s="194" t="s">
        <v>256</v>
      </c>
      <c r="P627" s="211">
        <f t="shared" si="154"/>
        <v>1</v>
      </c>
      <c r="Q627" s="196">
        <f t="shared" si="146"/>
        <v>0</v>
      </c>
      <c r="R627" s="196">
        <f t="shared" si="147"/>
        <v>0</v>
      </c>
      <c r="S627" s="201" t="s">
        <v>217</v>
      </c>
      <c r="T627" s="211">
        <f t="shared" si="155"/>
        <v>0</v>
      </c>
      <c r="U627" s="198" t="str">
        <f t="shared" si="151"/>
        <v>SUBDIRECCION DE GESTION CONTRACTUAL</v>
      </c>
      <c r="V627" s="211" t="str">
        <f t="shared" si="148"/>
        <v>CO-DC</v>
      </c>
      <c r="W627" s="211" t="str">
        <f t="shared" si="149"/>
        <v>Distrito Capital de Bogotá</v>
      </c>
      <c r="X627" s="209" t="s">
        <v>1006</v>
      </c>
      <c r="Y627" s="202">
        <v>2427401</v>
      </c>
      <c r="Z627" s="127" t="s">
        <v>1007</v>
      </c>
      <c r="AA627" s="134"/>
      <c r="AB627" s="134"/>
      <c r="AC627" s="134"/>
      <c r="AD627" s="134"/>
      <c r="AE627" s="134"/>
      <c r="AF627" s="134"/>
      <c r="AG627" s="134"/>
      <c r="AH627" s="134"/>
      <c r="AI627" s="134"/>
      <c r="AJ627" s="134"/>
      <c r="AK627" s="134"/>
      <c r="AL627" s="134"/>
      <c r="AM627" s="134"/>
      <c r="AN627" s="134"/>
      <c r="AO627" s="134"/>
      <c r="AP627" s="134"/>
      <c r="AQ627" s="134"/>
      <c r="AR627" s="134"/>
      <c r="AS627" s="134"/>
      <c r="AT627" s="134"/>
      <c r="AU627" s="132"/>
      <c r="AV627" s="132"/>
      <c r="AW627" s="132"/>
      <c r="AX627" s="132"/>
      <c r="AY627" s="132"/>
      <c r="AZ627" s="132"/>
      <c r="BA627" s="132"/>
      <c r="BB627" s="132"/>
      <c r="BC627" s="132"/>
      <c r="BD627" s="132"/>
      <c r="BE627" s="132"/>
      <c r="BF627" s="132"/>
      <c r="BG627" s="132"/>
      <c r="BH627" s="132"/>
      <c r="BI627" s="132"/>
      <c r="BJ627" s="132"/>
      <c r="BK627" s="132"/>
      <c r="BL627" s="132"/>
      <c r="BM627" s="132"/>
      <c r="BN627" s="132"/>
      <c r="BO627" s="132"/>
      <c r="BP627" s="132"/>
      <c r="BQ627" s="132"/>
      <c r="BR627" s="132"/>
      <c r="BS627" s="132"/>
      <c r="BT627" s="132"/>
      <c r="BU627" s="132"/>
      <c r="BV627" s="132"/>
      <c r="BW627" s="132"/>
      <c r="BX627" s="132"/>
      <c r="BY627" s="132"/>
      <c r="BZ627" s="132"/>
      <c r="CA627" s="132"/>
      <c r="CB627" s="132"/>
      <c r="CC627" s="132"/>
      <c r="CD627" s="132"/>
      <c r="CE627" s="132"/>
      <c r="CF627" s="132"/>
      <c r="CG627" s="140"/>
    </row>
    <row r="628" spans="1:85" s="139" customFormat="1" ht="13.9" customHeight="1" x14ac:dyDescent="0.25">
      <c r="A628" s="184" t="s">
        <v>143</v>
      </c>
      <c r="B628" s="185">
        <v>40</v>
      </c>
      <c r="C628" s="186" t="s">
        <v>149</v>
      </c>
      <c r="D628" s="186" t="s">
        <v>169</v>
      </c>
      <c r="E628" s="187"/>
      <c r="F628" s="187">
        <f>200000000+100000000</f>
        <v>300000000</v>
      </c>
      <c r="G628" s="187"/>
      <c r="H628" s="188" t="s">
        <v>225</v>
      </c>
      <c r="I628" s="189" t="s">
        <v>573</v>
      </c>
      <c r="J628" s="206">
        <v>7</v>
      </c>
      <c r="K628" s="206">
        <v>9</v>
      </c>
      <c r="L628" s="206">
        <v>3</v>
      </c>
      <c r="M628" s="185">
        <f t="shared" si="150"/>
        <v>1</v>
      </c>
      <c r="N628" s="193" t="s">
        <v>977</v>
      </c>
      <c r="O628" s="194" t="s">
        <v>978</v>
      </c>
      <c r="P628" s="195">
        <f t="shared" si="154"/>
        <v>1</v>
      </c>
      <c r="Q628" s="196">
        <f t="shared" si="146"/>
        <v>300000000</v>
      </c>
      <c r="R628" s="196">
        <f t="shared" si="147"/>
        <v>300000000</v>
      </c>
      <c r="S628" s="197" t="s">
        <v>217</v>
      </c>
      <c r="T628" s="193">
        <f t="shared" si="155"/>
        <v>0</v>
      </c>
      <c r="U628" s="198" t="str">
        <f t="shared" si="151"/>
        <v>SUBDIRECCION DE GESTION CONTRACTUAL</v>
      </c>
      <c r="V628" s="185" t="str">
        <f t="shared" si="148"/>
        <v>CO-DC</v>
      </c>
      <c r="W628" s="198" t="str">
        <f t="shared" si="149"/>
        <v>Distrito Capital de Bogotá</v>
      </c>
      <c r="X628" s="199" t="s">
        <v>974</v>
      </c>
      <c r="Y628" s="185">
        <v>2427400</v>
      </c>
      <c r="Z628" s="125" t="s">
        <v>885</v>
      </c>
      <c r="AA628" s="134"/>
      <c r="AB628" s="134"/>
      <c r="AC628" s="134"/>
      <c r="AD628" s="134"/>
      <c r="AE628" s="134"/>
      <c r="AF628" s="134"/>
      <c r="AG628" s="134"/>
      <c r="AH628" s="134"/>
      <c r="AI628" s="134"/>
      <c r="AJ628" s="134"/>
      <c r="AK628" s="134"/>
      <c r="AL628" s="134"/>
      <c r="AM628" s="134"/>
      <c r="AN628" s="134"/>
      <c r="AO628" s="134"/>
      <c r="AP628" s="134"/>
      <c r="AQ628" s="134"/>
      <c r="AR628" s="134"/>
      <c r="AS628" s="134"/>
      <c r="AT628" s="134"/>
      <c r="AU628" s="132"/>
      <c r="AV628" s="132"/>
      <c r="AW628" s="132"/>
      <c r="AX628" s="132"/>
      <c r="AY628" s="132"/>
      <c r="AZ628" s="132"/>
      <c r="BA628" s="132"/>
      <c r="BB628" s="132"/>
      <c r="BC628" s="132"/>
      <c r="BD628" s="132"/>
      <c r="BE628" s="132"/>
      <c r="BF628" s="132"/>
      <c r="BG628" s="132"/>
      <c r="BH628" s="132"/>
      <c r="BI628" s="132"/>
      <c r="BJ628" s="132"/>
      <c r="BK628" s="132"/>
      <c r="BL628" s="132"/>
      <c r="BM628" s="132"/>
      <c r="BN628" s="132"/>
      <c r="BO628" s="132"/>
      <c r="BP628" s="132"/>
      <c r="BQ628" s="132"/>
      <c r="BR628" s="132"/>
      <c r="BS628" s="132"/>
      <c r="BT628" s="132"/>
      <c r="BU628" s="132"/>
      <c r="BV628" s="132"/>
      <c r="BW628" s="132"/>
      <c r="BX628" s="132"/>
      <c r="BY628" s="132"/>
      <c r="BZ628" s="132"/>
      <c r="CA628" s="132"/>
      <c r="CB628" s="132"/>
      <c r="CC628" s="132"/>
      <c r="CD628" s="132"/>
      <c r="CE628" s="132"/>
      <c r="CF628" s="132"/>
      <c r="CG628" s="140"/>
    </row>
    <row r="629" spans="1:85" s="139" customFormat="1" ht="13.9" customHeight="1" x14ac:dyDescent="0.2">
      <c r="A629" s="208" t="s">
        <v>143</v>
      </c>
      <c r="B629" s="202">
        <v>41</v>
      </c>
      <c r="C629" s="203" t="s">
        <v>148</v>
      </c>
      <c r="D629" s="209" t="s">
        <v>489</v>
      </c>
      <c r="E629" s="210"/>
      <c r="F629" s="210">
        <f>400000000-50000000</f>
        <v>350000000</v>
      </c>
      <c r="G629" s="210"/>
      <c r="H629" s="188" t="s">
        <v>565</v>
      </c>
      <c r="I629" s="189" t="s">
        <v>578</v>
      </c>
      <c r="J629" s="206">
        <v>2</v>
      </c>
      <c r="K629" s="206">
        <v>2</v>
      </c>
      <c r="L629" s="206">
        <v>10</v>
      </c>
      <c r="M629" s="185">
        <f t="shared" si="150"/>
        <v>1</v>
      </c>
      <c r="N629" s="193" t="s">
        <v>36</v>
      </c>
      <c r="O629" s="194" t="s">
        <v>256</v>
      </c>
      <c r="P629" s="211">
        <f t="shared" si="154"/>
        <v>1</v>
      </c>
      <c r="Q629" s="196">
        <f t="shared" si="146"/>
        <v>350000000</v>
      </c>
      <c r="R629" s="196">
        <f t="shared" si="147"/>
        <v>350000000</v>
      </c>
      <c r="S629" s="201" t="s">
        <v>217</v>
      </c>
      <c r="T629" s="211">
        <f t="shared" si="155"/>
        <v>0</v>
      </c>
      <c r="U629" s="198" t="str">
        <f t="shared" si="151"/>
        <v>SUBDIRECCION DE GESTION CONTRACTUAL</v>
      </c>
      <c r="V629" s="185" t="str">
        <f t="shared" si="148"/>
        <v>CO-DC</v>
      </c>
      <c r="W629" s="211" t="str">
        <f t="shared" si="149"/>
        <v>Distrito Capital de Bogotá</v>
      </c>
      <c r="X629" s="199" t="s">
        <v>299</v>
      </c>
      <c r="Y629" s="185">
        <v>2427400</v>
      </c>
      <c r="Z629" s="200" t="s">
        <v>92</v>
      </c>
      <c r="AA629" s="134"/>
      <c r="AB629" s="134"/>
      <c r="AC629" s="134"/>
      <c r="AD629" s="134"/>
      <c r="AE629" s="134"/>
      <c r="AF629" s="134"/>
      <c r="AG629" s="134"/>
      <c r="AH629" s="134"/>
      <c r="AI629" s="134"/>
      <c r="AJ629" s="134"/>
      <c r="AK629" s="134"/>
      <c r="AL629" s="134"/>
      <c r="AM629" s="134"/>
      <c r="AN629" s="134"/>
      <c r="AO629" s="134"/>
      <c r="AP629" s="134"/>
      <c r="AQ629" s="134"/>
      <c r="AR629" s="134"/>
      <c r="AS629" s="134"/>
      <c r="AT629" s="134"/>
      <c r="AU629" s="132"/>
      <c r="AV629" s="132"/>
      <c r="AW629" s="132"/>
      <c r="AX629" s="132"/>
      <c r="AY629" s="132"/>
      <c r="AZ629" s="132"/>
      <c r="BA629" s="132"/>
      <c r="BB629" s="132"/>
      <c r="BC629" s="132"/>
      <c r="BD629" s="132"/>
      <c r="BE629" s="132"/>
      <c r="BF629" s="132"/>
      <c r="BG629" s="132"/>
      <c r="BH629" s="132"/>
      <c r="BI629" s="132"/>
      <c r="BJ629" s="132"/>
      <c r="BK629" s="132"/>
      <c r="BL629" s="132"/>
      <c r="BM629" s="132"/>
      <c r="BN629" s="132"/>
      <c r="BO629" s="132"/>
      <c r="BP629" s="132"/>
      <c r="BQ629" s="132"/>
      <c r="BR629" s="132"/>
      <c r="BS629" s="132"/>
      <c r="BT629" s="132"/>
      <c r="BU629" s="132"/>
      <c r="BV629" s="132"/>
      <c r="BW629" s="132"/>
      <c r="BX629" s="132"/>
      <c r="BY629" s="132"/>
      <c r="BZ629" s="132"/>
      <c r="CA629" s="132"/>
      <c r="CB629" s="132"/>
      <c r="CC629" s="132"/>
      <c r="CD629" s="132"/>
      <c r="CE629" s="132"/>
      <c r="CF629" s="132"/>
      <c r="CG629" s="140"/>
    </row>
    <row r="630" spans="1:85" s="139" customFormat="1" ht="13.9" customHeight="1" x14ac:dyDescent="0.2">
      <c r="A630" s="208" t="s">
        <v>143</v>
      </c>
      <c r="B630" s="202">
        <v>42</v>
      </c>
      <c r="C630" s="203" t="s">
        <v>149</v>
      </c>
      <c r="D630" s="209" t="s">
        <v>169</v>
      </c>
      <c r="E630" s="210"/>
      <c r="F630" s="210">
        <f>2500000000+2250000000</f>
        <v>4750000000</v>
      </c>
      <c r="G630" s="210"/>
      <c r="H630" s="209" t="s">
        <v>784</v>
      </c>
      <c r="I630" s="203" t="s">
        <v>783</v>
      </c>
      <c r="J630" s="206">
        <v>3</v>
      </c>
      <c r="K630" s="206">
        <v>3</v>
      </c>
      <c r="L630" s="206">
        <v>9</v>
      </c>
      <c r="M630" s="185">
        <v>1</v>
      </c>
      <c r="N630" s="193" t="s">
        <v>36</v>
      </c>
      <c r="O630" s="194" t="s">
        <v>256</v>
      </c>
      <c r="P630" s="211">
        <v>1</v>
      </c>
      <c r="Q630" s="196">
        <f t="shared" si="146"/>
        <v>4750000000</v>
      </c>
      <c r="R630" s="196">
        <f t="shared" si="147"/>
        <v>4750000000</v>
      </c>
      <c r="S630" s="201" t="s">
        <v>217</v>
      </c>
      <c r="T630" s="211">
        <v>0</v>
      </c>
      <c r="U630" s="198" t="s">
        <v>37</v>
      </c>
      <c r="V630" s="211" t="s">
        <v>39</v>
      </c>
      <c r="W630" s="211" t="s">
        <v>38</v>
      </c>
      <c r="X630" s="209" t="s">
        <v>1006</v>
      </c>
      <c r="Y630" s="202">
        <v>2427401</v>
      </c>
      <c r="Z630" s="127" t="s">
        <v>1007</v>
      </c>
      <c r="AA630" s="134"/>
      <c r="AB630" s="134"/>
      <c r="AC630" s="134"/>
      <c r="AD630" s="134"/>
      <c r="AE630" s="134"/>
      <c r="AF630" s="134"/>
      <c r="AG630" s="134"/>
      <c r="AH630" s="134"/>
      <c r="AI630" s="134"/>
      <c r="AJ630" s="134"/>
      <c r="AK630" s="134"/>
      <c r="AL630" s="134"/>
      <c r="AM630" s="134"/>
      <c r="AN630" s="134"/>
      <c r="AO630" s="134"/>
      <c r="AP630" s="134"/>
      <c r="AQ630" s="134"/>
      <c r="AR630" s="134"/>
      <c r="AS630" s="134"/>
      <c r="AT630" s="134"/>
      <c r="AU630" s="132"/>
      <c r="AV630" s="132"/>
      <c r="AW630" s="132"/>
      <c r="AX630" s="132"/>
      <c r="AY630" s="132"/>
      <c r="AZ630" s="132"/>
      <c r="BA630" s="132"/>
      <c r="BB630" s="132"/>
      <c r="BC630" s="132"/>
      <c r="BD630" s="132"/>
      <c r="BE630" s="132"/>
      <c r="BF630" s="132"/>
      <c r="BG630" s="132"/>
      <c r="BH630" s="132"/>
      <c r="BI630" s="132"/>
      <c r="BJ630" s="132"/>
      <c r="BK630" s="132"/>
      <c r="BL630" s="132"/>
      <c r="BM630" s="132"/>
      <c r="BN630" s="132"/>
      <c r="BO630" s="132"/>
      <c r="BP630" s="132"/>
      <c r="BQ630" s="132"/>
      <c r="BR630" s="132"/>
      <c r="BS630" s="132"/>
      <c r="BT630" s="132"/>
      <c r="BU630" s="132"/>
      <c r="BV630" s="132"/>
      <c r="BW630" s="132"/>
      <c r="BX630" s="132"/>
      <c r="BY630" s="132"/>
      <c r="BZ630" s="132"/>
      <c r="CA630" s="132"/>
      <c r="CB630" s="132"/>
      <c r="CC630" s="132"/>
      <c r="CD630" s="132"/>
      <c r="CE630" s="132"/>
      <c r="CF630" s="132"/>
      <c r="CG630" s="140"/>
    </row>
    <row r="631" spans="1:85" s="139" customFormat="1" ht="13.9" customHeight="1" x14ac:dyDescent="0.2">
      <c r="A631" s="208" t="s">
        <v>143</v>
      </c>
      <c r="B631" s="202">
        <v>43</v>
      </c>
      <c r="C631" s="203" t="s">
        <v>151</v>
      </c>
      <c r="D631" s="209" t="s">
        <v>169</v>
      </c>
      <c r="E631" s="210"/>
      <c r="F631" s="210">
        <v>620000000</v>
      </c>
      <c r="G631" s="210"/>
      <c r="H631" s="209" t="s">
        <v>784</v>
      </c>
      <c r="I631" s="203" t="s">
        <v>783</v>
      </c>
      <c r="J631" s="202">
        <v>3</v>
      </c>
      <c r="K631" s="202">
        <v>3</v>
      </c>
      <c r="L631" s="202">
        <v>9</v>
      </c>
      <c r="M631" s="185">
        <v>1</v>
      </c>
      <c r="N631" s="193" t="s">
        <v>36</v>
      </c>
      <c r="O631" s="194" t="s">
        <v>256</v>
      </c>
      <c r="P631" s="211">
        <v>1</v>
      </c>
      <c r="Q631" s="196">
        <f t="shared" si="146"/>
        <v>620000000</v>
      </c>
      <c r="R631" s="196">
        <f t="shared" si="147"/>
        <v>620000000</v>
      </c>
      <c r="S631" s="201" t="s">
        <v>217</v>
      </c>
      <c r="T631" s="211">
        <v>0</v>
      </c>
      <c r="U631" s="198" t="s">
        <v>37</v>
      </c>
      <c r="V631" s="211" t="s">
        <v>39</v>
      </c>
      <c r="W631" s="211" t="s">
        <v>38</v>
      </c>
      <c r="X631" s="209" t="s">
        <v>1006</v>
      </c>
      <c r="Y631" s="202">
        <v>2427401</v>
      </c>
      <c r="Z631" s="127" t="s">
        <v>1007</v>
      </c>
      <c r="AA631" s="134"/>
      <c r="AB631" s="134"/>
      <c r="AC631" s="134"/>
      <c r="AD631" s="134"/>
      <c r="AE631" s="134"/>
      <c r="AF631" s="134"/>
      <c r="AG631" s="134"/>
      <c r="AH631" s="134"/>
      <c r="AI631" s="134"/>
      <c r="AJ631" s="134"/>
      <c r="AK631" s="134"/>
      <c r="AL631" s="134"/>
      <c r="AM631" s="134"/>
      <c r="AN631" s="134"/>
      <c r="AO631" s="134"/>
      <c r="AP631" s="134"/>
      <c r="AQ631" s="134"/>
      <c r="AR631" s="134"/>
      <c r="AS631" s="134"/>
      <c r="AT631" s="134"/>
      <c r="AU631" s="132"/>
      <c r="AV631" s="132"/>
      <c r="AW631" s="132"/>
      <c r="AX631" s="132"/>
      <c r="AY631" s="132"/>
      <c r="AZ631" s="132"/>
      <c r="BA631" s="132"/>
      <c r="BB631" s="132"/>
      <c r="BC631" s="132"/>
      <c r="BD631" s="132"/>
      <c r="BE631" s="132"/>
      <c r="BF631" s="132"/>
      <c r="BG631" s="132"/>
      <c r="BH631" s="132"/>
      <c r="BI631" s="132"/>
      <c r="BJ631" s="132"/>
      <c r="BK631" s="132"/>
      <c r="BL631" s="132"/>
      <c r="BM631" s="132"/>
      <c r="BN631" s="132"/>
      <c r="BO631" s="132"/>
      <c r="BP631" s="132"/>
      <c r="BQ631" s="132"/>
      <c r="BR631" s="132"/>
      <c r="BS631" s="132"/>
      <c r="BT631" s="132"/>
      <c r="BU631" s="132"/>
      <c r="BV631" s="132"/>
      <c r="BW631" s="132"/>
      <c r="BX631" s="132"/>
      <c r="BY631" s="132"/>
      <c r="BZ631" s="132"/>
      <c r="CA631" s="132"/>
      <c r="CB631" s="132"/>
      <c r="CC631" s="132"/>
      <c r="CD631" s="132"/>
      <c r="CE631" s="132"/>
      <c r="CF631" s="132"/>
      <c r="CG631" s="140"/>
    </row>
    <row r="632" spans="1:85" s="139" customFormat="1" ht="13.9" customHeight="1" x14ac:dyDescent="0.2">
      <c r="A632" s="208" t="s">
        <v>143</v>
      </c>
      <c r="B632" s="202">
        <v>44</v>
      </c>
      <c r="C632" s="203" t="s">
        <v>495</v>
      </c>
      <c r="D632" s="209" t="s">
        <v>764</v>
      </c>
      <c r="E632" s="210"/>
      <c r="F632" s="210">
        <v>864000000</v>
      </c>
      <c r="G632" s="210"/>
      <c r="H632" s="209" t="s">
        <v>784</v>
      </c>
      <c r="I632" s="203" t="s">
        <v>783</v>
      </c>
      <c r="J632" s="202">
        <v>3</v>
      </c>
      <c r="K632" s="202">
        <v>3</v>
      </c>
      <c r="L632" s="202">
        <v>9</v>
      </c>
      <c r="M632" s="185">
        <v>1</v>
      </c>
      <c r="N632" s="193" t="s">
        <v>36</v>
      </c>
      <c r="O632" s="194" t="s">
        <v>256</v>
      </c>
      <c r="P632" s="211">
        <v>1</v>
      </c>
      <c r="Q632" s="196">
        <f t="shared" si="146"/>
        <v>864000000</v>
      </c>
      <c r="R632" s="196">
        <f t="shared" si="147"/>
        <v>864000000</v>
      </c>
      <c r="S632" s="201" t="s">
        <v>217</v>
      </c>
      <c r="T632" s="211">
        <v>0</v>
      </c>
      <c r="U632" s="198" t="s">
        <v>37</v>
      </c>
      <c r="V632" s="211" t="s">
        <v>39</v>
      </c>
      <c r="W632" s="211" t="s">
        <v>38</v>
      </c>
      <c r="X632" s="209" t="s">
        <v>1006</v>
      </c>
      <c r="Y632" s="202">
        <v>2427401</v>
      </c>
      <c r="Z632" s="127" t="s">
        <v>1007</v>
      </c>
      <c r="AA632" s="134"/>
      <c r="AB632" s="134"/>
      <c r="AC632" s="134"/>
      <c r="AD632" s="134"/>
      <c r="AE632" s="134"/>
      <c r="AF632" s="134"/>
      <c r="AG632" s="134"/>
      <c r="AH632" s="134"/>
      <c r="AI632" s="134"/>
      <c r="AJ632" s="134"/>
      <c r="AK632" s="134"/>
      <c r="AL632" s="134"/>
      <c r="AM632" s="134"/>
      <c r="AN632" s="134"/>
      <c r="AO632" s="134"/>
      <c r="AP632" s="134"/>
      <c r="AQ632" s="134"/>
      <c r="AR632" s="134"/>
      <c r="AS632" s="134"/>
      <c r="AT632" s="134"/>
      <c r="AU632" s="132"/>
      <c r="AV632" s="132"/>
      <c r="AW632" s="132"/>
      <c r="AX632" s="132"/>
      <c r="AY632" s="132"/>
      <c r="AZ632" s="132"/>
      <c r="BA632" s="132"/>
      <c r="BB632" s="132"/>
      <c r="BC632" s="132"/>
      <c r="BD632" s="132"/>
      <c r="BE632" s="132"/>
      <c r="BF632" s="132"/>
      <c r="BG632" s="132"/>
      <c r="BH632" s="132"/>
      <c r="BI632" s="132"/>
      <c r="BJ632" s="132"/>
      <c r="BK632" s="132"/>
      <c r="BL632" s="132"/>
      <c r="BM632" s="132"/>
      <c r="BN632" s="132"/>
      <c r="BO632" s="132"/>
      <c r="BP632" s="132"/>
      <c r="BQ632" s="132"/>
      <c r="BR632" s="132"/>
      <c r="BS632" s="132"/>
      <c r="BT632" s="132"/>
      <c r="BU632" s="132"/>
      <c r="BV632" s="132"/>
      <c r="BW632" s="132"/>
      <c r="BX632" s="132"/>
      <c r="BY632" s="132"/>
      <c r="BZ632" s="132"/>
      <c r="CA632" s="132"/>
      <c r="CB632" s="132"/>
      <c r="CC632" s="132"/>
      <c r="CD632" s="132"/>
      <c r="CE632" s="132"/>
      <c r="CF632" s="132"/>
      <c r="CG632" s="140"/>
    </row>
    <row r="633" spans="1:85" s="139" customFormat="1" ht="13.9" customHeight="1" x14ac:dyDescent="0.2">
      <c r="A633" s="208" t="s">
        <v>143</v>
      </c>
      <c r="B633" s="202">
        <v>45</v>
      </c>
      <c r="C633" s="203" t="s">
        <v>496</v>
      </c>
      <c r="D633" s="209" t="s">
        <v>764</v>
      </c>
      <c r="E633" s="210"/>
      <c r="F633" s="210">
        <v>1500000000</v>
      </c>
      <c r="G633" s="210"/>
      <c r="H633" s="209" t="s">
        <v>784</v>
      </c>
      <c r="I633" s="203" t="s">
        <v>783</v>
      </c>
      <c r="J633" s="202">
        <v>3</v>
      </c>
      <c r="K633" s="202">
        <v>3</v>
      </c>
      <c r="L633" s="202">
        <v>9</v>
      </c>
      <c r="M633" s="185">
        <v>1</v>
      </c>
      <c r="N633" s="193" t="s">
        <v>36</v>
      </c>
      <c r="O633" s="194" t="s">
        <v>256</v>
      </c>
      <c r="P633" s="211">
        <v>1</v>
      </c>
      <c r="Q633" s="196">
        <f t="shared" si="146"/>
        <v>1500000000</v>
      </c>
      <c r="R633" s="196">
        <f t="shared" si="147"/>
        <v>1500000000</v>
      </c>
      <c r="S633" s="201" t="s">
        <v>217</v>
      </c>
      <c r="T633" s="211">
        <v>0</v>
      </c>
      <c r="U633" s="198" t="s">
        <v>37</v>
      </c>
      <c r="V633" s="211" t="s">
        <v>39</v>
      </c>
      <c r="W633" s="211" t="s">
        <v>38</v>
      </c>
      <c r="X633" s="209" t="s">
        <v>1006</v>
      </c>
      <c r="Y633" s="202">
        <v>2427401</v>
      </c>
      <c r="Z633" s="127" t="s">
        <v>1007</v>
      </c>
      <c r="AA633" s="134"/>
      <c r="AB633" s="134"/>
      <c r="AC633" s="134"/>
      <c r="AD633" s="134"/>
      <c r="AE633" s="134"/>
      <c r="AF633" s="134"/>
      <c r="AG633" s="134"/>
      <c r="AH633" s="134"/>
      <c r="AI633" s="134"/>
      <c r="AJ633" s="134"/>
      <c r="AK633" s="134"/>
      <c r="AL633" s="134"/>
      <c r="AM633" s="134"/>
      <c r="AN633" s="134"/>
      <c r="AO633" s="134"/>
      <c r="AP633" s="134"/>
      <c r="AQ633" s="134"/>
      <c r="AR633" s="134"/>
      <c r="AS633" s="134"/>
      <c r="AT633" s="134"/>
      <c r="AU633" s="132"/>
      <c r="AV633" s="132"/>
      <c r="AW633" s="132"/>
      <c r="AX633" s="132"/>
      <c r="AY633" s="132"/>
      <c r="AZ633" s="132"/>
      <c r="BA633" s="132"/>
      <c r="BB633" s="132"/>
      <c r="BC633" s="132"/>
      <c r="BD633" s="132"/>
      <c r="BE633" s="132"/>
      <c r="BF633" s="132"/>
      <c r="BG633" s="132"/>
      <c r="BH633" s="132"/>
      <c r="BI633" s="132"/>
      <c r="BJ633" s="132"/>
      <c r="BK633" s="132"/>
      <c r="BL633" s="132"/>
      <c r="BM633" s="132"/>
      <c r="BN633" s="132"/>
      <c r="BO633" s="132"/>
      <c r="BP633" s="132"/>
      <c r="BQ633" s="132"/>
      <c r="BR633" s="132"/>
      <c r="BS633" s="132"/>
      <c r="BT633" s="132"/>
      <c r="BU633" s="132"/>
      <c r="BV633" s="132"/>
      <c r="BW633" s="132"/>
      <c r="BX633" s="132"/>
      <c r="BY633" s="132"/>
      <c r="BZ633" s="132"/>
      <c r="CA633" s="132"/>
      <c r="CB633" s="132"/>
      <c r="CC633" s="132"/>
      <c r="CD633" s="132"/>
      <c r="CE633" s="132"/>
      <c r="CF633" s="132"/>
      <c r="CG633" s="140"/>
    </row>
    <row r="634" spans="1:85" s="139" customFormat="1" ht="13.9" customHeight="1" x14ac:dyDescent="0.2">
      <c r="A634" s="208" t="s">
        <v>143</v>
      </c>
      <c r="B634" s="202">
        <v>46</v>
      </c>
      <c r="C634" s="203" t="s">
        <v>497</v>
      </c>
      <c r="D634" s="209" t="s">
        <v>764</v>
      </c>
      <c r="E634" s="210"/>
      <c r="F634" s="210">
        <v>438000000</v>
      </c>
      <c r="G634" s="210"/>
      <c r="H634" s="209" t="s">
        <v>784</v>
      </c>
      <c r="I634" s="203" t="s">
        <v>783</v>
      </c>
      <c r="J634" s="202">
        <v>3</v>
      </c>
      <c r="K634" s="202">
        <v>3</v>
      </c>
      <c r="L634" s="202">
        <v>9</v>
      </c>
      <c r="M634" s="185">
        <v>1</v>
      </c>
      <c r="N634" s="193" t="s">
        <v>36</v>
      </c>
      <c r="O634" s="194" t="s">
        <v>256</v>
      </c>
      <c r="P634" s="211">
        <v>1</v>
      </c>
      <c r="Q634" s="196">
        <f t="shared" si="146"/>
        <v>438000000</v>
      </c>
      <c r="R634" s="196">
        <f t="shared" si="147"/>
        <v>438000000</v>
      </c>
      <c r="S634" s="201" t="s">
        <v>217</v>
      </c>
      <c r="T634" s="211">
        <v>0</v>
      </c>
      <c r="U634" s="198" t="s">
        <v>37</v>
      </c>
      <c r="V634" s="211" t="s">
        <v>39</v>
      </c>
      <c r="W634" s="211" t="s">
        <v>38</v>
      </c>
      <c r="X634" s="209" t="s">
        <v>1006</v>
      </c>
      <c r="Y634" s="202">
        <v>2427401</v>
      </c>
      <c r="Z634" s="127" t="s">
        <v>1007</v>
      </c>
      <c r="AA634" s="134"/>
      <c r="AB634" s="134"/>
      <c r="AC634" s="134"/>
      <c r="AD634" s="134"/>
      <c r="AE634" s="134"/>
      <c r="AF634" s="134"/>
      <c r="AG634" s="134"/>
      <c r="AH634" s="134"/>
      <c r="AI634" s="134"/>
      <c r="AJ634" s="134"/>
      <c r="AK634" s="134"/>
      <c r="AL634" s="134"/>
      <c r="AM634" s="134"/>
      <c r="AN634" s="134"/>
      <c r="AO634" s="134"/>
      <c r="AP634" s="134"/>
      <c r="AQ634" s="134"/>
      <c r="AR634" s="134"/>
      <c r="AS634" s="134"/>
      <c r="AT634" s="134"/>
      <c r="AU634" s="132"/>
      <c r="AV634" s="132"/>
      <c r="AW634" s="132"/>
      <c r="AX634" s="132"/>
      <c r="AY634" s="132"/>
      <c r="AZ634" s="132"/>
      <c r="BA634" s="132"/>
      <c r="BB634" s="132"/>
      <c r="BC634" s="132"/>
      <c r="BD634" s="132"/>
      <c r="BE634" s="132"/>
      <c r="BF634" s="132"/>
      <c r="BG634" s="132"/>
      <c r="BH634" s="132"/>
      <c r="BI634" s="132"/>
      <c r="BJ634" s="132"/>
      <c r="BK634" s="132"/>
      <c r="BL634" s="132"/>
      <c r="BM634" s="132"/>
      <c r="BN634" s="132"/>
      <c r="BO634" s="132"/>
      <c r="BP634" s="132"/>
      <c r="BQ634" s="132"/>
      <c r="BR634" s="132"/>
      <c r="BS634" s="132"/>
      <c r="BT634" s="132"/>
      <c r="BU634" s="132"/>
      <c r="BV634" s="132"/>
      <c r="BW634" s="132"/>
      <c r="BX634" s="132"/>
      <c r="BY634" s="132"/>
      <c r="BZ634" s="132"/>
      <c r="CA634" s="132"/>
      <c r="CB634" s="132"/>
      <c r="CC634" s="132"/>
      <c r="CD634" s="132"/>
      <c r="CE634" s="132"/>
      <c r="CF634" s="132"/>
      <c r="CG634" s="140"/>
    </row>
    <row r="635" spans="1:85" s="139" customFormat="1" ht="13.9" customHeight="1" x14ac:dyDescent="0.2">
      <c r="A635" s="208" t="s">
        <v>143</v>
      </c>
      <c r="B635" s="202">
        <v>47</v>
      </c>
      <c r="C635" s="203" t="s">
        <v>498</v>
      </c>
      <c r="D635" s="209" t="s">
        <v>764</v>
      </c>
      <c r="E635" s="210"/>
      <c r="F635" s="210">
        <f>576000000+4000000000+4000000000</f>
        <v>8576000000</v>
      </c>
      <c r="G635" s="210"/>
      <c r="H635" s="209" t="s">
        <v>784</v>
      </c>
      <c r="I635" s="203" t="s">
        <v>783</v>
      </c>
      <c r="J635" s="202">
        <v>3</v>
      </c>
      <c r="K635" s="202">
        <v>3</v>
      </c>
      <c r="L635" s="202">
        <v>9</v>
      </c>
      <c r="M635" s="185">
        <v>1</v>
      </c>
      <c r="N635" s="193" t="s">
        <v>36</v>
      </c>
      <c r="O635" s="194" t="s">
        <v>256</v>
      </c>
      <c r="P635" s="211">
        <v>1</v>
      </c>
      <c r="Q635" s="196">
        <f t="shared" si="146"/>
        <v>8576000000</v>
      </c>
      <c r="R635" s="196">
        <f t="shared" si="147"/>
        <v>8576000000</v>
      </c>
      <c r="S635" s="201" t="s">
        <v>217</v>
      </c>
      <c r="T635" s="211">
        <v>0</v>
      </c>
      <c r="U635" s="198" t="s">
        <v>37</v>
      </c>
      <c r="V635" s="211" t="s">
        <v>39</v>
      </c>
      <c r="W635" s="211" t="s">
        <v>38</v>
      </c>
      <c r="X635" s="209" t="s">
        <v>1006</v>
      </c>
      <c r="Y635" s="202">
        <v>2427401</v>
      </c>
      <c r="Z635" s="127" t="s">
        <v>1007</v>
      </c>
      <c r="AA635" s="134"/>
      <c r="AB635" s="134"/>
      <c r="AC635" s="134"/>
      <c r="AD635" s="134"/>
      <c r="AE635" s="134"/>
      <c r="AF635" s="134"/>
      <c r="AG635" s="134"/>
      <c r="AH635" s="134"/>
      <c r="AI635" s="134"/>
      <c r="AJ635" s="134"/>
      <c r="AK635" s="134"/>
      <c r="AL635" s="134"/>
      <c r="AM635" s="134"/>
      <c r="AN635" s="134"/>
      <c r="AO635" s="134"/>
      <c r="AP635" s="134"/>
      <c r="AQ635" s="134"/>
      <c r="AR635" s="134"/>
      <c r="AS635" s="134"/>
      <c r="AT635" s="134"/>
      <c r="AU635" s="132"/>
      <c r="AV635" s="132"/>
      <c r="AW635" s="132"/>
      <c r="AX635" s="132"/>
      <c r="AY635" s="132"/>
      <c r="AZ635" s="132"/>
      <c r="BA635" s="132"/>
      <c r="BB635" s="132"/>
      <c r="BC635" s="132"/>
      <c r="BD635" s="132"/>
      <c r="BE635" s="132"/>
      <c r="BF635" s="132"/>
      <c r="BG635" s="132"/>
      <c r="BH635" s="132"/>
      <c r="BI635" s="132"/>
      <c r="BJ635" s="132"/>
      <c r="BK635" s="132"/>
      <c r="BL635" s="132"/>
      <c r="BM635" s="132"/>
      <c r="BN635" s="132"/>
      <c r="BO635" s="132"/>
      <c r="BP635" s="132"/>
      <c r="BQ635" s="132"/>
      <c r="BR635" s="132"/>
      <c r="BS635" s="132"/>
      <c r="BT635" s="132"/>
      <c r="BU635" s="132"/>
      <c r="BV635" s="132"/>
      <c r="BW635" s="132"/>
      <c r="BX635" s="132"/>
      <c r="BY635" s="132"/>
      <c r="BZ635" s="132"/>
      <c r="CA635" s="132"/>
      <c r="CB635" s="132"/>
      <c r="CC635" s="132"/>
      <c r="CD635" s="132"/>
      <c r="CE635" s="132"/>
      <c r="CF635" s="132"/>
      <c r="CG635" s="140"/>
    </row>
    <row r="636" spans="1:85" s="139" customFormat="1" ht="13.9" customHeight="1" x14ac:dyDescent="0.2">
      <c r="A636" s="213" t="s">
        <v>143</v>
      </c>
      <c r="B636" s="214">
        <v>48</v>
      </c>
      <c r="C636" s="204" t="s">
        <v>487</v>
      </c>
      <c r="D636" s="204" t="s">
        <v>856</v>
      </c>
      <c r="E636" s="215"/>
      <c r="F636" s="215">
        <f>145200000+350000000</f>
        <v>495200000</v>
      </c>
      <c r="G636" s="215"/>
      <c r="H636" s="216" t="s">
        <v>144</v>
      </c>
      <c r="I636" s="217" t="s">
        <v>857</v>
      </c>
      <c r="J636" s="214">
        <v>5</v>
      </c>
      <c r="K636" s="214">
        <v>5</v>
      </c>
      <c r="L636" s="214">
        <v>7</v>
      </c>
      <c r="M636" s="214">
        <v>1</v>
      </c>
      <c r="N636" s="214" t="s">
        <v>36</v>
      </c>
      <c r="O636" s="194" t="s">
        <v>256</v>
      </c>
      <c r="P636" s="214">
        <v>1</v>
      </c>
      <c r="Q636" s="196">
        <f t="shared" si="146"/>
        <v>495200000</v>
      </c>
      <c r="R636" s="196">
        <f t="shared" si="147"/>
        <v>495200000</v>
      </c>
      <c r="S636" s="214">
        <v>0</v>
      </c>
      <c r="T636" s="214">
        <v>0</v>
      </c>
      <c r="U636" s="218" t="s">
        <v>37</v>
      </c>
      <c r="V636" s="211" t="s">
        <v>39</v>
      </c>
      <c r="W636" s="211" t="s">
        <v>38</v>
      </c>
      <c r="X636" s="209" t="s">
        <v>1006</v>
      </c>
      <c r="Y636" s="202">
        <v>2427401</v>
      </c>
      <c r="Z636" s="127" t="s">
        <v>1007</v>
      </c>
      <c r="AA636" s="134"/>
      <c r="AB636" s="134"/>
      <c r="AC636" s="134"/>
      <c r="AD636" s="134"/>
      <c r="AE636" s="134"/>
      <c r="AF636" s="134"/>
      <c r="AG636" s="134"/>
      <c r="AH636" s="134"/>
      <c r="AI636" s="134"/>
      <c r="AJ636" s="134"/>
      <c r="AK636" s="134"/>
      <c r="AL636" s="134"/>
      <c r="AM636" s="134"/>
      <c r="AN636" s="134"/>
      <c r="AO636" s="134"/>
      <c r="AP636" s="134"/>
      <c r="AQ636" s="134"/>
      <c r="AR636" s="134"/>
      <c r="AS636" s="134"/>
      <c r="AT636" s="134"/>
      <c r="AU636" s="132"/>
      <c r="AV636" s="132"/>
      <c r="AW636" s="132"/>
      <c r="AX636" s="132"/>
      <c r="AY636" s="132"/>
      <c r="AZ636" s="132"/>
      <c r="BA636" s="132"/>
      <c r="BB636" s="132"/>
      <c r="BC636" s="132"/>
      <c r="BD636" s="132"/>
      <c r="BE636" s="132"/>
      <c r="BF636" s="132"/>
      <c r="BG636" s="132"/>
      <c r="BH636" s="132"/>
      <c r="BI636" s="132"/>
      <c r="BJ636" s="132"/>
      <c r="BK636" s="132"/>
      <c r="BL636" s="132"/>
      <c r="BM636" s="132"/>
      <c r="BN636" s="132"/>
      <c r="BO636" s="132"/>
      <c r="BP636" s="132"/>
      <c r="BQ636" s="132"/>
      <c r="BR636" s="132"/>
      <c r="BS636" s="132"/>
      <c r="BT636" s="132"/>
      <c r="BU636" s="132"/>
      <c r="BV636" s="132"/>
      <c r="BW636" s="132"/>
      <c r="BX636" s="132"/>
      <c r="BY636" s="132"/>
      <c r="BZ636" s="132"/>
      <c r="CA636" s="132"/>
      <c r="CB636" s="132"/>
      <c r="CC636" s="132"/>
      <c r="CD636" s="132"/>
      <c r="CE636" s="132"/>
      <c r="CF636" s="132"/>
      <c r="CG636" s="140"/>
    </row>
    <row r="637" spans="1:85" s="139" customFormat="1" ht="13.9" customHeight="1" x14ac:dyDescent="0.2">
      <c r="A637" s="213" t="s">
        <v>143</v>
      </c>
      <c r="B637" s="214">
        <v>49</v>
      </c>
      <c r="C637" s="204" t="s">
        <v>487</v>
      </c>
      <c r="D637" s="204" t="s">
        <v>856</v>
      </c>
      <c r="E637" s="215"/>
      <c r="F637" s="215">
        <v>4650000000</v>
      </c>
      <c r="G637" s="215"/>
      <c r="H637" s="216" t="s">
        <v>858</v>
      </c>
      <c r="I637" s="217" t="s">
        <v>859</v>
      </c>
      <c r="J637" s="214">
        <v>5</v>
      </c>
      <c r="K637" s="214">
        <v>5</v>
      </c>
      <c r="L637" s="214">
        <v>7</v>
      </c>
      <c r="M637" s="214">
        <v>1</v>
      </c>
      <c r="N637" s="214" t="s">
        <v>36</v>
      </c>
      <c r="O637" s="194" t="s">
        <v>256</v>
      </c>
      <c r="P637" s="214">
        <v>1</v>
      </c>
      <c r="Q637" s="196">
        <f t="shared" si="146"/>
        <v>4650000000</v>
      </c>
      <c r="R637" s="196">
        <f t="shared" si="147"/>
        <v>4650000000</v>
      </c>
      <c r="S637" s="214">
        <v>0</v>
      </c>
      <c r="T637" s="214">
        <v>0</v>
      </c>
      <c r="U637" s="218" t="s">
        <v>37</v>
      </c>
      <c r="V637" s="211" t="s">
        <v>39</v>
      </c>
      <c r="W637" s="211" t="s">
        <v>38</v>
      </c>
      <c r="X637" s="209" t="s">
        <v>1006</v>
      </c>
      <c r="Y637" s="202">
        <v>2427401</v>
      </c>
      <c r="Z637" s="127" t="s">
        <v>1007</v>
      </c>
      <c r="AA637" s="134"/>
      <c r="AB637" s="134"/>
      <c r="AC637" s="134"/>
      <c r="AD637" s="134"/>
      <c r="AE637" s="134"/>
      <c r="AF637" s="134"/>
      <c r="AG637" s="134"/>
      <c r="AH637" s="134"/>
      <c r="AI637" s="134"/>
      <c r="AJ637" s="134"/>
      <c r="AK637" s="134"/>
      <c r="AL637" s="134"/>
      <c r="AM637" s="134"/>
      <c r="AN637" s="134"/>
      <c r="AO637" s="134"/>
      <c r="AP637" s="134"/>
      <c r="AQ637" s="134"/>
      <c r="AR637" s="134"/>
      <c r="AS637" s="134"/>
      <c r="AT637" s="134"/>
      <c r="AU637" s="132"/>
      <c r="AV637" s="132"/>
      <c r="AW637" s="132"/>
      <c r="AX637" s="132"/>
      <c r="AY637" s="132"/>
      <c r="AZ637" s="132"/>
      <c r="BA637" s="132"/>
      <c r="BB637" s="132"/>
      <c r="BC637" s="132"/>
      <c r="BD637" s="132"/>
      <c r="BE637" s="132"/>
      <c r="BF637" s="132"/>
      <c r="BG637" s="132"/>
      <c r="BH637" s="132"/>
      <c r="BI637" s="132"/>
      <c r="BJ637" s="132"/>
      <c r="BK637" s="132"/>
      <c r="BL637" s="132"/>
      <c r="BM637" s="132"/>
      <c r="BN637" s="132"/>
      <c r="BO637" s="132"/>
      <c r="BP637" s="132"/>
      <c r="BQ637" s="132"/>
      <c r="BR637" s="132"/>
      <c r="BS637" s="132"/>
      <c r="BT637" s="132"/>
      <c r="BU637" s="132"/>
      <c r="BV637" s="132"/>
      <c r="BW637" s="132"/>
      <c r="BX637" s="132"/>
      <c r="BY637" s="132"/>
      <c r="BZ637" s="132"/>
      <c r="CA637" s="132"/>
      <c r="CB637" s="132"/>
      <c r="CC637" s="132"/>
      <c r="CD637" s="132"/>
      <c r="CE637" s="132"/>
      <c r="CF637" s="132"/>
      <c r="CG637" s="140"/>
    </row>
    <row r="638" spans="1:85" s="139" customFormat="1" ht="13.9" customHeight="1" x14ac:dyDescent="0.2">
      <c r="A638" s="213" t="s">
        <v>143</v>
      </c>
      <c r="B638" s="214">
        <v>50</v>
      </c>
      <c r="C638" s="204" t="s">
        <v>487</v>
      </c>
      <c r="D638" s="204" t="s">
        <v>856</v>
      </c>
      <c r="E638" s="215"/>
      <c r="F638" s="215">
        <v>2000000000</v>
      </c>
      <c r="G638" s="215"/>
      <c r="H638" s="216" t="s">
        <v>874</v>
      </c>
      <c r="I638" s="217" t="s">
        <v>793</v>
      </c>
      <c r="J638" s="214">
        <v>5</v>
      </c>
      <c r="K638" s="214">
        <v>5</v>
      </c>
      <c r="L638" s="214">
        <v>7</v>
      </c>
      <c r="M638" s="214">
        <v>1</v>
      </c>
      <c r="N638" s="214" t="s">
        <v>36</v>
      </c>
      <c r="O638" s="194" t="s">
        <v>256</v>
      </c>
      <c r="P638" s="214">
        <v>1</v>
      </c>
      <c r="Q638" s="196">
        <f t="shared" si="146"/>
        <v>2000000000</v>
      </c>
      <c r="R638" s="196">
        <f t="shared" si="147"/>
        <v>2000000000</v>
      </c>
      <c r="S638" s="214">
        <v>0</v>
      </c>
      <c r="T638" s="214">
        <v>0</v>
      </c>
      <c r="U638" s="218" t="s">
        <v>37</v>
      </c>
      <c r="V638" s="211" t="s">
        <v>39</v>
      </c>
      <c r="W638" s="211" t="s">
        <v>38</v>
      </c>
      <c r="X638" s="209" t="s">
        <v>1006</v>
      </c>
      <c r="Y638" s="202">
        <v>2427401</v>
      </c>
      <c r="Z638" s="127" t="s">
        <v>1007</v>
      </c>
      <c r="AA638" s="134"/>
      <c r="AB638" s="134"/>
      <c r="AC638" s="134"/>
      <c r="AD638" s="134"/>
      <c r="AE638" s="134"/>
      <c r="AF638" s="134"/>
      <c r="AG638" s="134"/>
      <c r="AH638" s="134"/>
      <c r="AI638" s="134"/>
      <c r="AJ638" s="134"/>
      <c r="AK638" s="134"/>
      <c r="AL638" s="134"/>
      <c r="AM638" s="134"/>
      <c r="AN638" s="134"/>
      <c r="AO638" s="134"/>
      <c r="AP638" s="134"/>
      <c r="AQ638" s="134"/>
      <c r="AR638" s="134"/>
      <c r="AS638" s="134"/>
      <c r="AT638" s="134"/>
      <c r="AU638" s="132"/>
      <c r="AV638" s="132"/>
      <c r="AW638" s="132"/>
      <c r="AX638" s="132"/>
      <c r="AY638" s="132"/>
      <c r="AZ638" s="132"/>
      <c r="BA638" s="132"/>
      <c r="BB638" s="132"/>
      <c r="BC638" s="132"/>
      <c r="BD638" s="132"/>
      <c r="BE638" s="132"/>
      <c r="BF638" s="132"/>
      <c r="BG638" s="132"/>
      <c r="BH638" s="132"/>
      <c r="BI638" s="132"/>
      <c r="BJ638" s="132"/>
      <c r="BK638" s="132"/>
      <c r="BL638" s="132"/>
      <c r="BM638" s="132"/>
      <c r="BN638" s="132"/>
      <c r="BO638" s="132"/>
      <c r="BP638" s="132"/>
      <c r="BQ638" s="132"/>
      <c r="BR638" s="132"/>
      <c r="BS638" s="132"/>
      <c r="BT638" s="132"/>
      <c r="BU638" s="132"/>
      <c r="BV638" s="132"/>
      <c r="BW638" s="132"/>
      <c r="BX638" s="132"/>
      <c r="BY638" s="132"/>
      <c r="BZ638" s="132"/>
      <c r="CA638" s="132"/>
      <c r="CB638" s="132"/>
      <c r="CC638" s="132"/>
      <c r="CD638" s="132"/>
      <c r="CE638" s="132"/>
      <c r="CF638" s="132"/>
      <c r="CG638" s="140"/>
    </row>
    <row r="639" spans="1:85" s="139" customFormat="1" ht="13.5" customHeight="1" x14ac:dyDescent="0.2">
      <c r="A639" s="208" t="s">
        <v>143</v>
      </c>
      <c r="B639" s="202">
        <v>51</v>
      </c>
      <c r="C639" s="203" t="s">
        <v>148</v>
      </c>
      <c r="D639" s="209" t="s">
        <v>489</v>
      </c>
      <c r="E639" s="210"/>
      <c r="F639" s="210">
        <v>50000000</v>
      </c>
      <c r="G639" s="210"/>
      <c r="H639" s="188" t="s">
        <v>101</v>
      </c>
      <c r="I639" s="203" t="s">
        <v>554</v>
      </c>
      <c r="J639" s="190">
        <v>7</v>
      </c>
      <c r="K639" s="214">
        <v>7</v>
      </c>
      <c r="L639" s="192">
        <v>6</v>
      </c>
      <c r="M639" s="185">
        <f t="shared" ref="M639:M670" si="156">IF(ISBLANK(J639),"",1)</f>
        <v>1</v>
      </c>
      <c r="N639" s="193" t="s">
        <v>36</v>
      </c>
      <c r="O639" s="194" t="s">
        <v>256</v>
      </c>
      <c r="P639" s="211">
        <v>1</v>
      </c>
      <c r="Q639" s="196">
        <f t="shared" si="146"/>
        <v>50000000</v>
      </c>
      <c r="R639" s="196">
        <f t="shared" si="147"/>
        <v>50000000</v>
      </c>
      <c r="S639" s="201" t="s">
        <v>218</v>
      </c>
      <c r="T639" s="211">
        <v>3</v>
      </c>
      <c r="U639" s="198" t="str">
        <f t="shared" ref="U639:U670" si="157">IF(ISBLANK(N639),"","SUBDIRECCION DE GESTION CONTRACTUAL")</f>
        <v>SUBDIRECCION DE GESTION CONTRACTUAL</v>
      </c>
      <c r="V639" s="211" t="s">
        <v>39</v>
      </c>
      <c r="W639" s="211" t="s">
        <v>38</v>
      </c>
      <c r="X639" s="209" t="s">
        <v>1006</v>
      </c>
      <c r="Y639" s="202">
        <v>2427401</v>
      </c>
      <c r="Z639" s="127" t="s">
        <v>1007</v>
      </c>
      <c r="AA639" s="134"/>
      <c r="AB639" s="134"/>
      <c r="AC639" s="134"/>
      <c r="AD639" s="134"/>
      <c r="AE639" s="134"/>
      <c r="AF639" s="134"/>
      <c r="AG639" s="134"/>
      <c r="AH639" s="134"/>
      <c r="AI639" s="134"/>
      <c r="AJ639" s="134"/>
      <c r="AK639" s="134"/>
      <c r="AL639" s="134"/>
      <c r="AM639" s="134"/>
      <c r="AN639" s="134"/>
      <c r="AO639" s="134"/>
      <c r="AP639" s="134"/>
      <c r="AQ639" s="134"/>
      <c r="AR639" s="134"/>
      <c r="AS639" s="134"/>
      <c r="AT639" s="134"/>
      <c r="AU639" s="132"/>
      <c r="AV639" s="132"/>
      <c r="AW639" s="132"/>
      <c r="AX639" s="132"/>
      <c r="AY639" s="132"/>
      <c r="AZ639" s="132"/>
      <c r="BA639" s="132"/>
      <c r="BB639" s="132"/>
      <c r="BC639" s="132"/>
      <c r="BD639" s="132"/>
      <c r="BE639" s="132"/>
      <c r="BF639" s="132"/>
      <c r="BG639" s="132"/>
      <c r="BH639" s="132"/>
      <c r="BI639" s="132"/>
      <c r="BJ639" s="132"/>
      <c r="BK639" s="132"/>
      <c r="BL639" s="132"/>
      <c r="BM639" s="132"/>
      <c r="BN639" s="132"/>
      <c r="BO639" s="132"/>
      <c r="BP639" s="132"/>
      <c r="BQ639" s="132"/>
      <c r="BR639" s="132"/>
      <c r="BS639" s="132"/>
      <c r="BT639" s="132"/>
      <c r="BU639" s="132"/>
      <c r="BV639" s="132"/>
      <c r="BW639" s="132"/>
      <c r="BX639" s="132"/>
      <c r="BY639" s="132"/>
      <c r="BZ639" s="132"/>
      <c r="CA639" s="132"/>
      <c r="CB639" s="132"/>
      <c r="CC639" s="132"/>
      <c r="CD639" s="132"/>
      <c r="CE639" s="132"/>
      <c r="CF639" s="132"/>
      <c r="CG639" s="140"/>
    </row>
    <row r="640" spans="1:85" s="139" customFormat="1" ht="13.9" customHeight="1" x14ac:dyDescent="0.2">
      <c r="A640" s="208" t="s">
        <v>143</v>
      </c>
      <c r="B640" s="202">
        <v>52</v>
      </c>
      <c r="C640" s="203" t="s">
        <v>491</v>
      </c>
      <c r="D640" s="209" t="s">
        <v>763</v>
      </c>
      <c r="E640" s="210"/>
      <c r="F640" s="210">
        <v>18000000</v>
      </c>
      <c r="G640" s="210"/>
      <c r="H640" s="209">
        <v>80111600</v>
      </c>
      <c r="I640" s="203" t="s">
        <v>572</v>
      </c>
      <c r="J640" s="202">
        <v>8</v>
      </c>
      <c r="K640" s="202">
        <v>8</v>
      </c>
      <c r="L640" s="202">
        <v>4</v>
      </c>
      <c r="M640" s="185">
        <f t="shared" si="156"/>
        <v>1</v>
      </c>
      <c r="N640" s="193" t="s">
        <v>210</v>
      </c>
      <c r="O640" s="194" t="s">
        <v>264</v>
      </c>
      <c r="P640" s="211">
        <f>IF(ISBLANK(N640),"",1)</f>
        <v>1</v>
      </c>
      <c r="Q640" s="196">
        <f t="shared" si="146"/>
        <v>18000000</v>
      </c>
      <c r="R640" s="196">
        <f t="shared" si="147"/>
        <v>18000000</v>
      </c>
      <c r="S640" s="201" t="s">
        <v>217</v>
      </c>
      <c r="T640" s="211">
        <f t="shared" ref="T640:T671" si="158">IF(ISBLANK(S640),"",IF(VALUE(S640)=0,0,IF(VALUE(S640)=1,3,"")))</f>
        <v>0</v>
      </c>
      <c r="U640" s="198" t="str">
        <f t="shared" si="157"/>
        <v>SUBDIRECCION DE GESTION CONTRACTUAL</v>
      </c>
      <c r="V640" s="211" t="str">
        <f>IF(ISBLANK(N640),"","CO-DC")</f>
        <v>CO-DC</v>
      </c>
      <c r="W640" s="211" t="str">
        <f>IF(ISBLANK(N640),"","Distrito Capital de Bogotá")</f>
        <v>Distrito Capital de Bogotá</v>
      </c>
      <c r="X640" s="209" t="s">
        <v>1006</v>
      </c>
      <c r="Y640" s="202">
        <v>2427401</v>
      </c>
      <c r="Z640" s="127" t="s">
        <v>1007</v>
      </c>
      <c r="AA640" s="134"/>
      <c r="AB640" s="134"/>
      <c r="AC640" s="134"/>
      <c r="AD640" s="134"/>
      <c r="AE640" s="134"/>
      <c r="AF640" s="134"/>
      <c r="AG640" s="134"/>
      <c r="AH640" s="134"/>
      <c r="AI640" s="134"/>
      <c r="AJ640" s="134"/>
      <c r="AK640" s="134"/>
      <c r="AL640" s="134"/>
      <c r="AM640" s="134"/>
      <c r="AN640" s="134"/>
      <c r="AO640" s="134"/>
      <c r="AP640" s="134"/>
      <c r="AQ640" s="134"/>
      <c r="AR640" s="134"/>
      <c r="AS640" s="134"/>
      <c r="AT640" s="134"/>
      <c r="AU640" s="132"/>
      <c r="AV640" s="132"/>
      <c r="AW640" s="132"/>
      <c r="AX640" s="132"/>
      <c r="AY640" s="132"/>
      <c r="AZ640" s="132"/>
      <c r="BA640" s="132"/>
      <c r="BB640" s="132"/>
      <c r="BC640" s="132"/>
      <c r="BD640" s="132"/>
      <c r="BE640" s="132"/>
      <c r="BF640" s="132"/>
      <c r="BG640" s="132"/>
      <c r="BH640" s="132"/>
      <c r="BI640" s="132"/>
      <c r="BJ640" s="132"/>
      <c r="BK640" s="132"/>
      <c r="BL640" s="132"/>
      <c r="BM640" s="132"/>
      <c r="BN640" s="132"/>
      <c r="BO640" s="132"/>
      <c r="BP640" s="132"/>
      <c r="BQ640" s="132"/>
      <c r="BR640" s="132"/>
      <c r="BS640" s="132"/>
      <c r="BT640" s="132"/>
      <c r="BU640" s="132"/>
      <c r="BV640" s="132"/>
      <c r="BW640" s="132"/>
      <c r="BX640" s="132"/>
      <c r="BY640" s="132"/>
      <c r="BZ640" s="132"/>
      <c r="CA640" s="132"/>
      <c r="CB640" s="132"/>
      <c r="CC640" s="132"/>
      <c r="CD640" s="132"/>
      <c r="CE640" s="132"/>
      <c r="CF640" s="132"/>
      <c r="CG640" s="140"/>
    </row>
    <row r="641" spans="1:85" s="139" customFormat="1" ht="13.9" customHeight="1" x14ac:dyDescent="0.2">
      <c r="A641" s="208" t="s">
        <v>143</v>
      </c>
      <c r="B641" s="202">
        <v>53</v>
      </c>
      <c r="C641" s="203" t="s">
        <v>492</v>
      </c>
      <c r="D641" s="209" t="s">
        <v>763</v>
      </c>
      <c r="E641" s="210"/>
      <c r="F641" s="210">
        <v>40000000</v>
      </c>
      <c r="G641" s="210"/>
      <c r="H641" s="209">
        <v>80111600</v>
      </c>
      <c r="I641" s="203" t="s">
        <v>572</v>
      </c>
      <c r="J641" s="202">
        <v>8</v>
      </c>
      <c r="K641" s="202">
        <v>8</v>
      </c>
      <c r="L641" s="202">
        <v>4</v>
      </c>
      <c r="M641" s="185">
        <f t="shared" si="156"/>
        <v>1</v>
      </c>
      <c r="N641" s="193" t="s">
        <v>210</v>
      </c>
      <c r="O641" s="194" t="s">
        <v>264</v>
      </c>
      <c r="P641" s="211">
        <f>IF(ISBLANK(N641),"",1)</f>
        <v>1</v>
      </c>
      <c r="Q641" s="196">
        <f t="shared" si="146"/>
        <v>40000000</v>
      </c>
      <c r="R641" s="196">
        <f t="shared" si="147"/>
        <v>40000000</v>
      </c>
      <c r="S641" s="201" t="s">
        <v>217</v>
      </c>
      <c r="T641" s="211">
        <f t="shared" si="158"/>
        <v>0</v>
      </c>
      <c r="U641" s="198" t="str">
        <f t="shared" si="157"/>
        <v>SUBDIRECCION DE GESTION CONTRACTUAL</v>
      </c>
      <c r="V641" s="211" t="str">
        <f>IF(ISBLANK(N641),"","CO-DC")</f>
        <v>CO-DC</v>
      </c>
      <c r="W641" s="211" t="str">
        <f>IF(ISBLANK(N641),"","Distrito Capital de Bogotá")</f>
        <v>Distrito Capital de Bogotá</v>
      </c>
      <c r="X641" s="209" t="s">
        <v>1006</v>
      </c>
      <c r="Y641" s="202">
        <v>2427401</v>
      </c>
      <c r="Z641" s="127" t="s">
        <v>1007</v>
      </c>
      <c r="AA641" s="134"/>
      <c r="AB641" s="134"/>
      <c r="AC641" s="134"/>
      <c r="AD641" s="134"/>
      <c r="AE641" s="134"/>
      <c r="AF641" s="134"/>
      <c r="AG641" s="134"/>
      <c r="AH641" s="134"/>
      <c r="AI641" s="134"/>
      <c r="AJ641" s="134"/>
      <c r="AK641" s="134"/>
      <c r="AL641" s="134"/>
      <c r="AM641" s="134"/>
      <c r="AN641" s="134"/>
      <c r="AO641" s="134"/>
      <c r="AP641" s="134"/>
      <c r="AQ641" s="134"/>
      <c r="AR641" s="134"/>
      <c r="AS641" s="134"/>
      <c r="AT641" s="134"/>
      <c r="AU641" s="132"/>
      <c r="AV641" s="132"/>
      <c r="AW641" s="132"/>
      <c r="AX641" s="132"/>
      <c r="AY641" s="132"/>
      <c r="AZ641" s="132"/>
      <c r="BA641" s="132"/>
      <c r="BB641" s="132"/>
      <c r="BC641" s="132"/>
      <c r="BD641" s="132"/>
      <c r="BE641" s="132"/>
      <c r="BF641" s="132"/>
      <c r="BG641" s="132"/>
      <c r="BH641" s="132"/>
      <c r="BI641" s="132"/>
      <c r="BJ641" s="132"/>
      <c r="BK641" s="132"/>
      <c r="BL641" s="132"/>
      <c r="BM641" s="132"/>
      <c r="BN641" s="132"/>
      <c r="BO641" s="132"/>
      <c r="BP641" s="132"/>
      <c r="BQ641" s="132"/>
      <c r="BR641" s="132"/>
      <c r="BS641" s="132"/>
      <c r="BT641" s="132"/>
      <c r="BU641" s="132"/>
      <c r="BV641" s="132"/>
      <c r="BW641" s="132"/>
      <c r="BX641" s="132"/>
      <c r="BY641" s="132"/>
      <c r="BZ641" s="132"/>
      <c r="CA641" s="132"/>
      <c r="CB641" s="132"/>
      <c r="CC641" s="132"/>
      <c r="CD641" s="132"/>
      <c r="CE641" s="132"/>
      <c r="CF641" s="132"/>
      <c r="CG641" s="140"/>
    </row>
    <row r="642" spans="1:85" s="139" customFormat="1" ht="13.9" customHeight="1" x14ac:dyDescent="0.2">
      <c r="A642" s="208" t="s">
        <v>156</v>
      </c>
      <c r="B642" s="202">
        <v>1</v>
      </c>
      <c r="C642" s="203" t="s">
        <v>157</v>
      </c>
      <c r="D642" s="209" t="s">
        <v>158</v>
      </c>
      <c r="E642" s="210"/>
      <c r="F642" s="210">
        <f>70103318+40392945</f>
        <v>110496263</v>
      </c>
      <c r="G642" s="210"/>
      <c r="H642" s="209">
        <v>91111703</v>
      </c>
      <c r="I642" s="203" t="s">
        <v>809</v>
      </c>
      <c r="J642" s="202">
        <v>4</v>
      </c>
      <c r="K642" s="202">
        <v>4</v>
      </c>
      <c r="L642" s="202">
        <v>8</v>
      </c>
      <c r="M642" s="185">
        <f t="shared" si="156"/>
        <v>1</v>
      </c>
      <c r="N642" s="193" t="s">
        <v>48</v>
      </c>
      <c r="O642" s="194" t="s">
        <v>49</v>
      </c>
      <c r="P642" s="211">
        <v>1</v>
      </c>
      <c r="Q642" s="196">
        <f t="shared" si="146"/>
        <v>110496263</v>
      </c>
      <c r="R642" s="196">
        <f t="shared" si="147"/>
        <v>110496263</v>
      </c>
      <c r="S642" s="201" t="s">
        <v>217</v>
      </c>
      <c r="T642" s="211">
        <f t="shared" si="158"/>
        <v>0</v>
      </c>
      <c r="U642" s="198" t="str">
        <f t="shared" si="157"/>
        <v>SUBDIRECCION DE GESTION CONTRACTUAL</v>
      </c>
      <c r="V642" s="211" t="s">
        <v>39</v>
      </c>
      <c r="W642" s="211" t="s">
        <v>38</v>
      </c>
      <c r="X642" s="209" t="s">
        <v>499</v>
      </c>
      <c r="Y642" s="202">
        <v>2427400</v>
      </c>
      <c r="Z642" s="212" t="s">
        <v>500</v>
      </c>
      <c r="AA642" s="134"/>
      <c r="AB642" s="134"/>
      <c r="AC642" s="134"/>
      <c r="AD642" s="134"/>
      <c r="AE642" s="134"/>
      <c r="AF642" s="134"/>
      <c r="AG642" s="134"/>
      <c r="AH642" s="134"/>
      <c r="AI642" s="134"/>
      <c r="AJ642" s="134"/>
      <c r="AK642" s="134"/>
      <c r="AL642" s="134"/>
      <c r="AM642" s="134"/>
      <c r="AN642" s="134"/>
      <c r="AO642" s="134"/>
      <c r="AP642" s="134"/>
      <c r="AQ642" s="134"/>
      <c r="AR642" s="134"/>
      <c r="AS642" s="134"/>
      <c r="AT642" s="134"/>
      <c r="AU642" s="132"/>
      <c r="AV642" s="132"/>
      <c r="AW642" s="132"/>
      <c r="AX642" s="132"/>
      <c r="AY642" s="132"/>
      <c r="AZ642" s="132"/>
      <c r="BA642" s="132"/>
      <c r="BB642" s="132"/>
      <c r="BC642" s="132"/>
      <c r="BD642" s="132"/>
      <c r="BE642" s="132"/>
      <c r="BF642" s="132"/>
      <c r="BG642" s="132"/>
      <c r="BH642" s="132"/>
      <c r="BI642" s="132"/>
      <c r="BJ642" s="132"/>
      <c r="BK642" s="132"/>
      <c r="BL642" s="132"/>
      <c r="BM642" s="132"/>
      <c r="BN642" s="132"/>
      <c r="BO642" s="132"/>
      <c r="BP642" s="132"/>
      <c r="BQ642" s="132"/>
      <c r="BR642" s="132"/>
      <c r="BS642" s="132"/>
      <c r="BT642" s="132"/>
      <c r="BU642" s="132"/>
      <c r="BV642" s="132"/>
      <c r="BW642" s="132"/>
      <c r="BX642" s="132"/>
      <c r="BY642" s="132"/>
      <c r="BZ642" s="132"/>
      <c r="CA642" s="132"/>
      <c r="CB642" s="132"/>
      <c r="CC642" s="132"/>
      <c r="CD642" s="132"/>
      <c r="CE642" s="132"/>
      <c r="CF642" s="132"/>
      <c r="CG642" s="140"/>
    </row>
    <row r="643" spans="1:85" s="139" customFormat="1" ht="13.9" customHeight="1" x14ac:dyDescent="0.2">
      <c r="A643" s="208" t="s">
        <v>156</v>
      </c>
      <c r="B643" s="202">
        <v>2</v>
      </c>
      <c r="C643" s="203" t="s">
        <v>157</v>
      </c>
      <c r="D643" s="209" t="s">
        <v>158</v>
      </c>
      <c r="E643" s="210"/>
      <c r="F643" s="210">
        <f>40392945-40392945</f>
        <v>0</v>
      </c>
      <c r="G643" s="210"/>
      <c r="H643" s="209">
        <v>91111703</v>
      </c>
      <c r="I643" s="203" t="s">
        <v>900</v>
      </c>
      <c r="J643" s="202">
        <v>2</v>
      </c>
      <c r="K643" s="202">
        <v>2</v>
      </c>
      <c r="L643" s="202">
        <v>2</v>
      </c>
      <c r="M643" s="185">
        <f t="shared" si="156"/>
        <v>1</v>
      </c>
      <c r="N643" s="193" t="s">
        <v>53</v>
      </c>
      <c r="O643" s="194" t="s">
        <v>54</v>
      </c>
      <c r="P643" s="211">
        <v>1</v>
      </c>
      <c r="Q643" s="196">
        <f t="shared" si="146"/>
        <v>0</v>
      </c>
      <c r="R643" s="196">
        <f t="shared" si="147"/>
        <v>0</v>
      </c>
      <c r="S643" s="201" t="s">
        <v>217</v>
      </c>
      <c r="T643" s="211">
        <f t="shared" si="158"/>
        <v>0</v>
      </c>
      <c r="U643" s="198" t="str">
        <f t="shared" si="157"/>
        <v>SUBDIRECCION DE GESTION CONTRACTUAL</v>
      </c>
      <c r="V643" s="211" t="s">
        <v>39</v>
      </c>
      <c r="W643" s="211" t="s">
        <v>38</v>
      </c>
      <c r="X643" s="209" t="s">
        <v>499</v>
      </c>
      <c r="Y643" s="202">
        <v>2427400</v>
      </c>
      <c r="Z643" s="212" t="s">
        <v>500</v>
      </c>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2"/>
      <c r="AV643" s="132"/>
      <c r="AW643" s="132"/>
      <c r="AX643" s="132"/>
      <c r="AY643" s="132"/>
      <c r="AZ643" s="132"/>
      <c r="BA643" s="132"/>
      <c r="BB643" s="132"/>
      <c r="BC643" s="132"/>
      <c r="BD643" s="132"/>
      <c r="BE643" s="132"/>
      <c r="BF643" s="132"/>
      <c r="BG643" s="132"/>
      <c r="BH643" s="132"/>
      <c r="BI643" s="132"/>
      <c r="BJ643" s="132"/>
      <c r="BK643" s="132"/>
      <c r="BL643" s="132"/>
      <c r="BM643" s="132"/>
      <c r="BN643" s="132"/>
      <c r="BO643" s="132"/>
      <c r="BP643" s="132"/>
      <c r="BQ643" s="132"/>
      <c r="BR643" s="132"/>
      <c r="BS643" s="132"/>
      <c r="BT643" s="132"/>
      <c r="BU643" s="132"/>
      <c r="BV643" s="132"/>
      <c r="BW643" s="132"/>
      <c r="BX643" s="132"/>
      <c r="BY643" s="132"/>
      <c r="BZ643" s="132"/>
      <c r="CA643" s="132"/>
      <c r="CB643" s="132"/>
      <c r="CC643" s="132"/>
      <c r="CD643" s="132"/>
      <c r="CE643" s="132"/>
      <c r="CF643" s="132"/>
      <c r="CG643" s="140"/>
    </row>
    <row r="644" spans="1:85" s="139" customFormat="1" ht="13.9" customHeight="1" x14ac:dyDescent="0.2">
      <c r="A644" s="208" t="s">
        <v>156</v>
      </c>
      <c r="B644" s="202">
        <v>3</v>
      </c>
      <c r="C644" s="203" t="s">
        <v>159</v>
      </c>
      <c r="D644" s="209" t="s">
        <v>501</v>
      </c>
      <c r="E644" s="210"/>
      <c r="F644" s="210">
        <f>27037500-14043200</f>
        <v>12994300</v>
      </c>
      <c r="G644" s="210"/>
      <c r="H644" s="209">
        <v>85122201</v>
      </c>
      <c r="I644" s="203" t="s">
        <v>502</v>
      </c>
      <c r="J644" s="202">
        <v>2</v>
      </c>
      <c r="K644" s="202">
        <v>2</v>
      </c>
      <c r="L644" s="202">
        <v>10</v>
      </c>
      <c r="M644" s="185">
        <f t="shared" si="156"/>
        <v>1</v>
      </c>
      <c r="N644" s="193" t="s">
        <v>48</v>
      </c>
      <c r="O644" s="194" t="s">
        <v>49</v>
      </c>
      <c r="P644" s="211">
        <v>1</v>
      </c>
      <c r="Q644" s="196">
        <f t="shared" si="146"/>
        <v>12994300</v>
      </c>
      <c r="R644" s="196">
        <f t="shared" si="147"/>
        <v>12994300</v>
      </c>
      <c r="S644" s="201" t="s">
        <v>217</v>
      </c>
      <c r="T644" s="211">
        <f t="shared" si="158"/>
        <v>0</v>
      </c>
      <c r="U644" s="198" t="str">
        <f t="shared" si="157"/>
        <v>SUBDIRECCION DE GESTION CONTRACTUAL</v>
      </c>
      <c r="V644" s="211" t="s">
        <v>39</v>
      </c>
      <c r="W644" s="211" t="s">
        <v>38</v>
      </c>
      <c r="X644" s="209" t="s">
        <v>588</v>
      </c>
      <c r="Y644" s="202">
        <v>2427400</v>
      </c>
      <c r="Z644" s="212" t="s">
        <v>162</v>
      </c>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2"/>
      <c r="AV644" s="132"/>
      <c r="AW644" s="132"/>
      <c r="AX644" s="132"/>
      <c r="AY644" s="132"/>
      <c r="AZ644" s="132"/>
      <c r="BA644" s="132"/>
      <c r="BB644" s="132"/>
      <c r="BC644" s="132"/>
      <c r="BD644" s="132"/>
      <c r="BE644" s="132"/>
      <c r="BF644" s="132"/>
      <c r="BG644" s="132"/>
      <c r="BH644" s="132"/>
      <c r="BI644" s="132"/>
      <c r="BJ644" s="132"/>
      <c r="BK644" s="132"/>
      <c r="BL644" s="132"/>
      <c r="BM644" s="132"/>
      <c r="BN644" s="132"/>
      <c r="BO644" s="132"/>
      <c r="BP644" s="132"/>
      <c r="BQ644" s="132"/>
      <c r="BR644" s="132"/>
      <c r="BS644" s="132"/>
      <c r="BT644" s="132"/>
      <c r="BU644" s="132"/>
      <c r="BV644" s="132"/>
      <c r="BW644" s="132"/>
      <c r="BX644" s="132"/>
      <c r="BY644" s="132"/>
      <c r="BZ644" s="132"/>
      <c r="CA644" s="132"/>
      <c r="CB644" s="132"/>
      <c r="CC644" s="132"/>
      <c r="CD644" s="132"/>
      <c r="CE644" s="132"/>
      <c r="CF644" s="132"/>
      <c r="CG644" s="140"/>
    </row>
    <row r="645" spans="1:85" s="139" customFormat="1" ht="13.9" customHeight="1" x14ac:dyDescent="0.2">
      <c r="A645" s="208" t="s">
        <v>156</v>
      </c>
      <c r="B645" s="202">
        <v>4</v>
      </c>
      <c r="C645" s="203" t="s">
        <v>159</v>
      </c>
      <c r="D645" s="209" t="s">
        <v>501</v>
      </c>
      <c r="E645" s="210"/>
      <c r="F645" s="210">
        <v>79924680</v>
      </c>
      <c r="G645" s="210"/>
      <c r="H645" s="209">
        <v>86111604</v>
      </c>
      <c r="I645" s="203" t="s">
        <v>937</v>
      </c>
      <c r="J645" s="202">
        <v>5</v>
      </c>
      <c r="K645" s="202">
        <v>5</v>
      </c>
      <c r="L645" s="202">
        <v>7</v>
      </c>
      <c r="M645" s="185">
        <f t="shared" si="156"/>
        <v>1</v>
      </c>
      <c r="N645" s="193" t="s">
        <v>210</v>
      </c>
      <c r="O645" s="194" t="s">
        <v>264</v>
      </c>
      <c r="P645" s="211">
        <v>1</v>
      </c>
      <c r="Q645" s="196">
        <f t="shared" si="146"/>
        <v>79924680</v>
      </c>
      <c r="R645" s="196">
        <f t="shared" si="147"/>
        <v>79924680</v>
      </c>
      <c r="S645" s="201" t="s">
        <v>217</v>
      </c>
      <c r="T645" s="211">
        <f t="shared" si="158"/>
        <v>0</v>
      </c>
      <c r="U645" s="198" t="str">
        <f t="shared" si="157"/>
        <v>SUBDIRECCION DE GESTION CONTRACTUAL</v>
      </c>
      <c r="V645" s="211" t="s">
        <v>39</v>
      </c>
      <c r="W645" s="211" t="s">
        <v>38</v>
      </c>
      <c r="X645" s="209" t="s">
        <v>588</v>
      </c>
      <c r="Y645" s="202">
        <v>2427400</v>
      </c>
      <c r="Z645" s="212" t="s">
        <v>162</v>
      </c>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2"/>
      <c r="AV645" s="132"/>
      <c r="AW645" s="132"/>
      <c r="AX645" s="132"/>
      <c r="AY645" s="132"/>
      <c r="AZ645" s="132"/>
      <c r="BA645" s="132"/>
      <c r="BB645" s="132"/>
      <c r="BC645" s="132"/>
      <c r="BD645" s="132"/>
      <c r="BE645" s="132"/>
      <c r="BF645" s="132"/>
      <c r="BG645" s="132"/>
      <c r="BH645" s="132"/>
      <c r="BI645" s="132"/>
      <c r="BJ645" s="132"/>
      <c r="BK645" s="132"/>
      <c r="BL645" s="132"/>
      <c r="BM645" s="132"/>
      <c r="BN645" s="132"/>
      <c r="BO645" s="132"/>
      <c r="BP645" s="132"/>
      <c r="BQ645" s="132"/>
      <c r="BR645" s="132"/>
      <c r="BS645" s="132"/>
      <c r="BT645" s="132"/>
      <c r="BU645" s="132"/>
      <c r="BV645" s="132"/>
      <c r="BW645" s="132"/>
      <c r="BX645" s="132"/>
      <c r="BY645" s="132"/>
      <c r="BZ645" s="132"/>
      <c r="CA645" s="132"/>
      <c r="CB645" s="132"/>
      <c r="CC645" s="132"/>
      <c r="CD645" s="132"/>
      <c r="CE645" s="132"/>
      <c r="CF645" s="132"/>
      <c r="CG645" s="140"/>
    </row>
    <row r="646" spans="1:85" s="139" customFormat="1" ht="13.9" customHeight="1" x14ac:dyDescent="0.2">
      <c r="A646" s="208" t="s">
        <v>156</v>
      </c>
      <c r="B646" s="202">
        <v>5</v>
      </c>
      <c r="C646" s="203" t="s">
        <v>159</v>
      </c>
      <c r="D646" s="209" t="s">
        <v>501</v>
      </c>
      <c r="E646" s="210"/>
      <c r="F646" s="210">
        <v>10500000</v>
      </c>
      <c r="G646" s="210"/>
      <c r="H646" s="209">
        <v>42172001</v>
      </c>
      <c r="I646" s="203" t="s">
        <v>503</v>
      </c>
      <c r="J646" s="202">
        <v>4</v>
      </c>
      <c r="K646" s="202">
        <v>4</v>
      </c>
      <c r="L646" s="202">
        <v>2</v>
      </c>
      <c r="M646" s="185">
        <f t="shared" si="156"/>
        <v>1</v>
      </c>
      <c r="N646" s="193" t="s">
        <v>48</v>
      </c>
      <c r="O646" s="194" t="s">
        <v>49</v>
      </c>
      <c r="P646" s="211">
        <v>1</v>
      </c>
      <c r="Q646" s="196">
        <f t="shared" si="146"/>
        <v>10500000</v>
      </c>
      <c r="R646" s="196">
        <f t="shared" si="147"/>
        <v>10500000</v>
      </c>
      <c r="S646" s="201" t="s">
        <v>217</v>
      </c>
      <c r="T646" s="211">
        <f t="shared" si="158"/>
        <v>0</v>
      </c>
      <c r="U646" s="198" t="str">
        <f t="shared" si="157"/>
        <v>SUBDIRECCION DE GESTION CONTRACTUAL</v>
      </c>
      <c r="V646" s="211" t="s">
        <v>39</v>
      </c>
      <c r="W646" s="211" t="s">
        <v>38</v>
      </c>
      <c r="X646" s="209" t="s">
        <v>588</v>
      </c>
      <c r="Y646" s="202">
        <v>2427400</v>
      </c>
      <c r="Z646" s="212" t="s">
        <v>162</v>
      </c>
      <c r="AA646" s="134"/>
      <c r="AB646" s="134"/>
      <c r="AC646" s="134"/>
      <c r="AD646" s="134"/>
      <c r="AE646" s="134"/>
      <c r="AF646" s="134"/>
      <c r="AG646" s="134"/>
      <c r="AH646" s="134"/>
      <c r="AI646" s="134"/>
      <c r="AJ646" s="134"/>
      <c r="AK646" s="134"/>
      <c r="AL646" s="134"/>
      <c r="AM646" s="134"/>
      <c r="AN646" s="134"/>
      <c r="AO646" s="134"/>
      <c r="AP646" s="134"/>
      <c r="AQ646" s="134"/>
      <c r="AR646" s="134"/>
      <c r="AS646" s="134"/>
      <c r="AT646" s="134"/>
      <c r="AU646" s="132"/>
      <c r="AV646" s="132"/>
      <c r="AW646" s="132"/>
      <c r="AX646" s="132"/>
      <c r="AY646" s="132"/>
      <c r="AZ646" s="132"/>
      <c r="BA646" s="132"/>
      <c r="BB646" s="132"/>
      <c r="BC646" s="132"/>
      <c r="BD646" s="132"/>
      <c r="BE646" s="132"/>
      <c r="BF646" s="132"/>
      <c r="BG646" s="132"/>
      <c r="BH646" s="132"/>
      <c r="BI646" s="132"/>
      <c r="BJ646" s="132"/>
      <c r="BK646" s="132"/>
      <c r="BL646" s="132"/>
      <c r="BM646" s="132"/>
      <c r="BN646" s="132"/>
      <c r="BO646" s="132"/>
      <c r="BP646" s="132"/>
      <c r="BQ646" s="132"/>
      <c r="BR646" s="132"/>
      <c r="BS646" s="132"/>
      <c r="BT646" s="132"/>
      <c r="BU646" s="132"/>
      <c r="BV646" s="132"/>
      <c r="BW646" s="132"/>
      <c r="BX646" s="132"/>
      <c r="BY646" s="132"/>
      <c r="BZ646" s="132"/>
      <c r="CA646" s="132"/>
      <c r="CB646" s="132"/>
      <c r="CC646" s="132"/>
      <c r="CD646" s="132"/>
      <c r="CE646" s="132"/>
      <c r="CF646" s="132"/>
      <c r="CG646" s="140"/>
    </row>
    <row r="647" spans="1:85" s="139" customFormat="1" ht="13.9" customHeight="1" x14ac:dyDescent="0.2">
      <c r="A647" s="208" t="s">
        <v>156</v>
      </c>
      <c r="B647" s="202">
        <v>6</v>
      </c>
      <c r="C647" s="203" t="s">
        <v>159</v>
      </c>
      <c r="D647" s="209" t="s">
        <v>501</v>
      </c>
      <c r="E647" s="210"/>
      <c r="F647" s="210">
        <v>20000000</v>
      </c>
      <c r="G647" s="210"/>
      <c r="H647" s="209">
        <v>46182205</v>
      </c>
      <c r="I647" s="203" t="s">
        <v>810</v>
      </c>
      <c r="J647" s="202">
        <v>5</v>
      </c>
      <c r="K647" s="202">
        <v>5</v>
      </c>
      <c r="L647" s="202">
        <v>3</v>
      </c>
      <c r="M647" s="185">
        <f t="shared" si="156"/>
        <v>1</v>
      </c>
      <c r="N647" s="193" t="s">
        <v>48</v>
      </c>
      <c r="O647" s="194" t="s">
        <v>49</v>
      </c>
      <c r="P647" s="211">
        <v>1</v>
      </c>
      <c r="Q647" s="196">
        <f t="shared" si="146"/>
        <v>20000000</v>
      </c>
      <c r="R647" s="196">
        <f t="shared" si="147"/>
        <v>20000000</v>
      </c>
      <c r="S647" s="201" t="s">
        <v>217</v>
      </c>
      <c r="T647" s="211">
        <f t="shared" si="158"/>
        <v>0</v>
      </c>
      <c r="U647" s="198" t="str">
        <f t="shared" si="157"/>
        <v>SUBDIRECCION DE GESTION CONTRACTUAL</v>
      </c>
      <c r="V647" s="211" t="s">
        <v>39</v>
      </c>
      <c r="W647" s="211" t="s">
        <v>38</v>
      </c>
      <c r="X647" s="209" t="s">
        <v>588</v>
      </c>
      <c r="Y647" s="202">
        <v>2427400</v>
      </c>
      <c r="Z647" s="212" t="s">
        <v>162</v>
      </c>
      <c r="AA647" s="134"/>
      <c r="AB647" s="134"/>
      <c r="AC647" s="134"/>
      <c r="AD647" s="134"/>
      <c r="AE647" s="134"/>
      <c r="AF647" s="134"/>
      <c r="AG647" s="134"/>
      <c r="AH647" s="134"/>
      <c r="AI647" s="134"/>
      <c r="AJ647" s="134"/>
      <c r="AK647" s="134"/>
      <c r="AL647" s="134"/>
      <c r="AM647" s="134"/>
      <c r="AN647" s="134"/>
      <c r="AO647" s="134"/>
      <c r="AP647" s="134"/>
      <c r="AQ647" s="134"/>
      <c r="AR647" s="134"/>
      <c r="AS647" s="134"/>
      <c r="AT647" s="134"/>
      <c r="AU647" s="132"/>
      <c r="AV647" s="132"/>
      <c r="AW647" s="132"/>
      <c r="AX647" s="132"/>
      <c r="AY647" s="132"/>
      <c r="AZ647" s="132"/>
      <c r="BA647" s="132"/>
      <c r="BB647" s="132"/>
      <c r="BC647" s="132"/>
      <c r="BD647" s="132"/>
      <c r="BE647" s="132"/>
      <c r="BF647" s="132"/>
      <c r="BG647" s="132"/>
      <c r="BH647" s="132"/>
      <c r="BI647" s="132"/>
      <c r="BJ647" s="132"/>
      <c r="BK647" s="132"/>
      <c r="BL647" s="132"/>
      <c r="BM647" s="132"/>
      <c r="BN647" s="132"/>
      <c r="BO647" s="132"/>
      <c r="BP647" s="132"/>
      <c r="BQ647" s="132"/>
      <c r="BR647" s="132"/>
      <c r="BS647" s="132"/>
      <c r="BT647" s="132"/>
      <c r="BU647" s="132"/>
      <c r="BV647" s="132"/>
      <c r="BW647" s="132"/>
      <c r="BX647" s="132"/>
      <c r="BY647" s="132"/>
      <c r="BZ647" s="132"/>
      <c r="CA647" s="132"/>
      <c r="CB647" s="132"/>
      <c r="CC647" s="132"/>
      <c r="CD647" s="132"/>
      <c r="CE647" s="132"/>
      <c r="CF647" s="132"/>
      <c r="CG647" s="140"/>
    </row>
    <row r="648" spans="1:85" s="139" customFormat="1" ht="13.9" customHeight="1" x14ac:dyDescent="0.2">
      <c r="A648" s="208" t="s">
        <v>156</v>
      </c>
      <c r="B648" s="202">
        <v>7</v>
      </c>
      <c r="C648" s="203" t="s">
        <v>159</v>
      </c>
      <c r="D648" s="209" t="s">
        <v>501</v>
      </c>
      <c r="E648" s="210"/>
      <c r="F648" s="210">
        <v>10300000</v>
      </c>
      <c r="G648" s="210"/>
      <c r="H648" s="209">
        <v>84111600</v>
      </c>
      <c r="I648" s="203" t="s">
        <v>504</v>
      </c>
      <c r="J648" s="202">
        <v>8</v>
      </c>
      <c r="K648" s="202">
        <v>8</v>
      </c>
      <c r="L648" s="202">
        <v>4</v>
      </c>
      <c r="M648" s="185">
        <f t="shared" si="156"/>
        <v>1</v>
      </c>
      <c r="N648" s="193" t="s">
        <v>210</v>
      </c>
      <c r="O648" s="194" t="s">
        <v>264</v>
      </c>
      <c r="P648" s="211">
        <v>1</v>
      </c>
      <c r="Q648" s="196">
        <f t="shared" si="146"/>
        <v>10300000</v>
      </c>
      <c r="R648" s="196">
        <f t="shared" si="147"/>
        <v>10300000</v>
      </c>
      <c r="S648" s="201" t="s">
        <v>217</v>
      </c>
      <c r="T648" s="211">
        <f t="shared" si="158"/>
        <v>0</v>
      </c>
      <c r="U648" s="198" t="str">
        <f t="shared" si="157"/>
        <v>SUBDIRECCION DE GESTION CONTRACTUAL</v>
      </c>
      <c r="V648" s="211" t="s">
        <v>39</v>
      </c>
      <c r="W648" s="211" t="s">
        <v>38</v>
      </c>
      <c r="X648" s="209" t="s">
        <v>588</v>
      </c>
      <c r="Y648" s="202">
        <v>2427400</v>
      </c>
      <c r="Z648" s="212" t="s">
        <v>162</v>
      </c>
      <c r="AA648" s="134"/>
      <c r="AB648" s="134"/>
      <c r="AC648" s="134"/>
      <c r="AD648" s="134"/>
      <c r="AE648" s="134"/>
      <c r="AF648" s="134"/>
      <c r="AG648" s="134"/>
      <c r="AH648" s="134"/>
      <c r="AI648" s="134"/>
      <c r="AJ648" s="134"/>
      <c r="AK648" s="134"/>
      <c r="AL648" s="134"/>
      <c r="AM648" s="134"/>
      <c r="AN648" s="134"/>
      <c r="AO648" s="134"/>
      <c r="AP648" s="134"/>
      <c r="AQ648" s="134"/>
      <c r="AR648" s="134"/>
      <c r="AS648" s="134"/>
      <c r="AT648" s="134"/>
      <c r="AU648" s="132"/>
      <c r="AV648" s="132"/>
      <c r="AW648" s="132"/>
      <c r="AX648" s="132"/>
      <c r="AY648" s="132"/>
      <c r="AZ648" s="132"/>
      <c r="BA648" s="132"/>
      <c r="BB648" s="132"/>
      <c r="BC648" s="132"/>
      <c r="BD648" s="132"/>
      <c r="BE648" s="132"/>
      <c r="BF648" s="132"/>
      <c r="BG648" s="132"/>
      <c r="BH648" s="132"/>
      <c r="BI648" s="132"/>
      <c r="BJ648" s="132"/>
      <c r="BK648" s="132"/>
      <c r="BL648" s="132"/>
      <c r="BM648" s="132"/>
      <c r="BN648" s="132"/>
      <c r="BO648" s="132"/>
      <c r="BP648" s="132"/>
      <c r="BQ648" s="132"/>
      <c r="BR648" s="132"/>
      <c r="BS648" s="132"/>
      <c r="BT648" s="132"/>
      <c r="BU648" s="132"/>
      <c r="BV648" s="132"/>
      <c r="BW648" s="132"/>
      <c r="BX648" s="132"/>
      <c r="BY648" s="132"/>
      <c r="BZ648" s="132"/>
      <c r="CA648" s="132"/>
      <c r="CB648" s="132"/>
      <c r="CC648" s="132"/>
      <c r="CD648" s="132"/>
      <c r="CE648" s="132"/>
      <c r="CF648" s="132"/>
      <c r="CG648" s="140"/>
    </row>
    <row r="649" spans="1:85" s="139" customFormat="1" ht="13.9" customHeight="1" x14ac:dyDescent="0.2">
      <c r="A649" s="208" t="s">
        <v>156</v>
      </c>
      <c r="B649" s="202">
        <v>8</v>
      </c>
      <c r="C649" s="203" t="s">
        <v>159</v>
      </c>
      <c r="D649" s="209" t="s">
        <v>501</v>
      </c>
      <c r="E649" s="210"/>
      <c r="F649" s="210">
        <f>13800700+14043200</f>
        <v>27843900</v>
      </c>
      <c r="G649" s="210"/>
      <c r="H649" s="209">
        <v>85161502</v>
      </c>
      <c r="I649" s="203" t="s">
        <v>505</v>
      </c>
      <c r="J649" s="202">
        <v>6</v>
      </c>
      <c r="K649" s="202">
        <v>6</v>
      </c>
      <c r="L649" s="202">
        <v>6</v>
      </c>
      <c r="M649" s="185">
        <f t="shared" si="156"/>
        <v>1</v>
      </c>
      <c r="N649" s="193" t="s">
        <v>48</v>
      </c>
      <c r="O649" s="194" t="s">
        <v>49</v>
      </c>
      <c r="P649" s="211">
        <v>1</v>
      </c>
      <c r="Q649" s="196">
        <f t="shared" si="146"/>
        <v>27843900</v>
      </c>
      <c r="R649" s="196">
        <f t="shared" si="147"/>
        <v>27843900</v>
      </c>
      <c r="S649" s="201" t="s">
        <v>217</v>
      </c>
      <c r="T649" s="211">
        <f t="shared" si="158"/>
        <v>0</v>
      </c>
      <c r="U649" s="198" t="str">
        <f t="shared" si="157"/>
        <v>SUBDIRECCION DE GESTION CONTRACTUAL</v>
      </c>
      <c r="V649" s="211" t="s">
        <v>39</v>
      </c>
      <c r="W649" s="211" t="s">
        <v>38</v>
      </c>
      <c r="X649" s="209" t="s">
        <v>588</v>
      </c>
      <c r="Y649" s="202">
        <v>2427400</v>
      </c>
      <c r="Z649" s="212" t="s">
        <v>162</v>
      </c>
      <c r="AA649" s="134"/>
      <c r="AB649" s="134"/>
      <c r="AC649" s="134"/>
      <c r="AD649" s="134"/>
      <c r="AE649" s="134"/>
      <c r="AF649" s="134"/>
      <c r="AG649" s="134"/>
      <c r="AH649" s="134"/>
      <c r="AI649" s="134"/>
      <c r="AJ649" s="134"/>
      <c r="AK649" s="134"/>
      <c r="AL649" s="134"/>
      <c r="AM649" s="134"/>
      <c r="AN649" s="134"/>
      <c r="AO649" s="134"/>
      <c r="AP649" s="134"/>
      <c r="AQ649" s="134"/>
      <c r="AR649" s="134"/>
      <c r="AS649" s="134"/>
      <c r="AT649" s="134"/>
      <c r="AU649" s="132"/>
      <c r="AV649" s="132"/>
      <c r="AW649" s="132"/>
      <c r="AX649" s="132"/>
      <c r="AY649" s="132"/>
      <c r="AZ649" s="132"/>
      <c r="BA649" s="132"/>
      <c r="BB649" s="132"/>
      <c r="BC649" s="132"/>
      <c r="BD649" s="132"/>
      <c r="BE649" s="132"/>
      <c r="BF649" s="132"/>
      <c r="BG649" s="132"/>
      <c r="BH649" s="132"/>
      <c r="BI649" s="132"/>
      <c r="BJ649" s="132"/>
      <c r="BK649" s="132"/>
      <c r="BL649" s="132"/>
      <c r="BM649" s="132"/>
      <c r="BN649" s="132"/>
      <c r="BO649" s="132"/>
      <c r="BP649" s="132"/>
      <c r="BQ649" s="132"/>
      <c r="BR649" s="132"/>
      <c r="BS649" s="132"/>
      <c r="BT649" s="132"/>
      <c r="BU649" s="132"/>
      <c r="BV649" s="132"/>
      <c r="BW649" s="132"/>
      <c r="BX649" s="132"/>
      <c r="BY649" s="132"/>
      <c r="BZ649" s="132"/>
      <c r="CA649" s="132"/>
      <c r="CB649" s="132"/>
      <c r="CC649" s="132"/>
      <c r="CD649" s="132"/>
      <c r="CE649" s="132"/>
      <c r="CF649" s="132"/>
      <c r="CG649" s="140"/>
    </row>
    <row r="650" spans="1:85" s="139" customFormat="1" ht="13.9" customHeight="1" x14ac:dyDescent="0.2">
      <c r="A650" s="208" t="s">
        <v>156</v>
      </c>
      <c r="B650" s="202">
        <v>9</v>
      </c>
      <c r="C650" s="203" t="s">
        <v>159</v>
      </c>
      <c r="D650" s="209" t="s">
        <v>501</v>
      </c>
      <c r="E650" s="210"/>
      <c r="F650" s="210">
        <v>13000000</v>
      </c>
      <c r="G650" s="210"/>
      <c r="H650" s="209">
        <v>85122201</v>
      </c>
      <c r="I650" s="203" t="s">
        <v>811</v>
      </c>
      <c r="J650" s="202">
        <v>9</v>
      </c>
      <c r="K650" s="202">
        <v>9</v>
      </c>
      <c r="L650" s="202">
        <v>3</v>
      </c>
      <c r="M650" s="185">
        <f t="shared" si="156"/>
        <v>1</v>
      </c>
      <c r="N650" s="193" t="s">
        <v>48</v>
      </c>
      <c r="O650" s="194" t="s">
        <v>49</v>
      </c>
      <c r="P650" s="211">
        <v>1</v>
      </c>
      <c r="Q650" s="196">
        <f t="shared" si="146"/>
        <v>13000000</v>
      </c>
      <c r="R650" s="196">
        <f t="shared" si="147"/>
        <v>13000000</v>
      </c>
      <c r="S650" s="201" t="s">
        <v>217</v>
      </c>
      <c r="T650" s="211">
        <f t="shared" si="158"/>
        <v>0</v>
      </c>
      <c r="U650" s="198" t="str">
        <f t="shared" si="157"/>
        <v>SUBDIRECCION DE GESTION CONTRACTUAL</v>
      </c>
      <c r="V650" s="211" t="s">
        <v>39</v>
      </c>
      <c r="W650" s="211" t="s">
        <v>38</v>
      </c>
      <c r="X650" s="209" t="s">
        <v>588</v>
      </c>
      <c r="Y650" s="202">
        <v>2427400</v>
      </c>
      <c r="Z650" s="212" t="s">
        <v>162</v>
      </c>
      <c r="AA650" s="134"/>
      <c r="AB650" s="134"/>
      <c r="AC650" s="134"/>
      <c r="AD650" s="134"/>
      <c r="AE650" s="134"/>
      <c r="AF650" s="134"/>
      <c r="AG650" s="134"/>
      <c r="AH650" s="134"/>
      <c r="AI650" s="134"/>
      <c r="AJ650" s="134"/>
      <c r="AK650" s="134"/>
      <c r="AL650" s="134"/>
      <c r="AM650" s="134"/>
      <c r="AN650" s="134"/>
      <c r="AO650" s="134"/>
      <c r="AP650" s="134"/>
      <c r="AQ650" s="134"/>
      <c r="AR650" s="134"/>
      <c r="AS650" s="134"/>
      <c r="AT650" s="134"/>
      <c r="AU650" s="132"/>
      <c r="AV650" s="132"/>
      <c r="AW650" s="132"/>
      <c r="AX650" s="132"/>
      <c r="AY650" s="132"/>
      <c r="AZ650" s="132"/>
      <c r="BA650" s="132"/>
      <c r="BB650" s="132"/>
      <c r="BC650" s="132"/>
      <c r="BD650" s="132"/>
      <c r="BE650" s="132"/>
      <c r="BF650" s="132"/>
      <c r="BG650" s="132"/>
      <c r="BH650" s="132"/>
      <c r="BI650" s="132"/>
      <c r="BJ650" s="132"/>
      <c r="BK650" s="132"/>
      <c r="BL650" s="132"/>
      <c r="BM650" s="132"/>
      <c r="BN650" s="132"/>
      <c r="BO650" s="132"/>
      <c r="BP650" s="132"/>
      <c r="BQ650" s="132"/>
      <c r="BR650" s="132"/>
      <c r="BS650" s="132"/>
      <c r="BT650" s="132"/>
      <c r="BU650" s="132"/>
      <c r="BV650" s="132"/>
      <c r="BW650" s="132"/>
      <c r="BX650" s="132"/>
      <c r="BY650" s="132"/>
      <c r="BZ650" s="132"/>
      <c r="CA650" s="132"/>
      <c r="CB650" s="132"/>
      <c r="CC650" s="132"/>
      <c r="CD650" s="132"/>
      <c r="CE650" s="132"/>
      <c r="CF650" s="132"/>
      <c r="CG650" s="140"/>
    </row>
    <row r="651" spans="1:85" s="139" customFormat="1" ht="13.9" customHeight="1" x14ac:dyDescent="0.2">
      <c r="A651" s="208" t="s">
        <v>156</v>
      </c>
      <c r="B651" s="202">
        <v>10</v>
      </c>
      <c r="C651" s="203" t="s">
        <v>159</v>
      </c>
      <c r="D651" s="209" t="s">
        <v>160</v>
      </c>
      <c r="E651" s="210"/>
      <c r="F651" s="210">
        <f>38262898-38262898</f>
        <v>0</v>
      </c>
      <c r="G651" s="210"/>
      <c r="H651" s="209">
        <v>86111604</v>
      </c>
      <c r="I651" s="203" t="s">
        <v>506</v>
      </c>
      <c r="J651" s="202">
        <v>2</v>
      </c>
      <c r="K651" s="202">
        <v>4</v>
      </c>
      <c r="L651" s="202">
        <v>8</v>
      </c>
      <c r="M651" s="185">
        <f t="shared" si="156"/>
        <v>1</v>
      </c>
      <c r="N651" s="193" t="s">
        <v>48</v>
      </c>
      <c r="O651" s="194" t="s">
        <v>49</v>
      </c>
      <c r="P651" s="211">
        <v>1</v>
      </c>
      <c r="Q651" s="196">
        <f t="shared" si="146"/>
        <v>0</v>
      </c>
      <c r="R651" s="196">
        <f t="shared" si="147"/>
        <v>0</v>
      </c>
      <c r="S651" s="201" t="s">
        <v>217</v>
      </c>
      <c r="T651" s="211">
        <f t="shared" si="158"/>
        <v>0</v>
      </c>
      <c r="U651" s="198" t="str">
        <f t="shared" si="157"/>
        <v>SUBDIRECCION DE GESTION CONTRACTUAL</v>
      </c>
      <c r="V651" s="211" t="s">
        <v>39</v>
      </c>
      <c r="W651" s="211" t="s">
        <v>38</v>
      </c>
      <c r="X651" s="209" t="s">
        <v>587</v>
      </c>
      <c r="Y651" s="202">
        <v>2427400</v>
      </c>
      <c r="Z651" s="212" t="s">
        <v>113</v>
      </c>
      <c r="AA651" s="134"/>
      <c r="AB651" s="134"/>
      <c r="AC651" s="134"/>
      <c r="AD651" s="134"/>
      <c r="AE651" s="134"/>
      <c r="AF651" s="134"/>
      <c r="AG651" s="134"/>
      <c r="AH651" s="134"/>
      <c r="AI651" s="134"/>
      <c r="AJ651" s="134"/>
      <c r="AK651" s="134"/>
      <c r="AL651" s="134"/>
      <c r="AM651" s="134"/>
      <c r="AN651" s="134"/>
      <c r="AO651" s="134"/>
      <c r="AP651" s="134"/>
      <c r="AQ651" s="134"/>
      <c r="AR651" s="134"/>
      <c r="AS651" s="134"/>
      <c r="AT651" s="134"/>
      <c r="AU651" s="132"/>
      <c r="AV651" s="132"/>
      <c r="AW651" s="132"/>
      <c r="AX651" s="132"/>
      <c r="AY651" s="132"/>
      <c r="AZ651" s="132"/>
      <c r="BA651" s="132"/>
      <c r="BB651" s="132"/>
      <c r="BC651" s="132"/>
      <c r="BD651" s="132"/>
      <c r="BE651" s="132"/>
      <c r="BF651" s="132"/>
      <c r="BG651" s="132"/>
      <c r="BH651" s="132"/>
      <c r="BI651" s="132"/>
      <c r="BJ651" s="132"/>
      <c r="BK651" s="132"/>
      <c r="BL651" s="132"/>
      <c r="BM651" s="132"/>
      <c r="BN651" s="132"/>
      <c r="BO651" s="132"/>
      <c r="BP651" s="132"/>
      <c r="BQ651" s="132"/>
      <c r="BR651" s="132"/>
      <c r="BS651" s="132"/>
      <c r="BT651" s="132"/>
      <c r="BU651" s="132"/>
      <c r="BV651" s="132"/>
      <c r="BW651" s="132"/>
      <c r="BX651" s="132"/>
      <c r="BY651" s="132"/>
      <c r="BZ651" s="132"/>
      <c r="CA651" s="132"/>
      <c r="CB651" s="132"/>
      <c r="CC651" s="132"/>
      <c r="CD651" s="132"/>
      <c r="CE651" s="132"/>
      <c r="CF651" s="132"/>
      <c r="CG651" s="140"/>
    </row>
    <row r="652" spans="1:85" s="139" customFormat="1" ht="13.9" customHeight="1" x14ac:dyDescent="0.2">
      <c r="A652" s="208" t="s">
        <v>156</v>
      </c>
      <c r="B652" s="202">
        <v>11</v>
      </c>
      <c r="C652" s="203" t="s">
        <v>159</v>
      </c>
      <c r="D652" s="209" t="s">
        <v>160</v>
      </c>
      <c r="E652" s="210"/>
      <c r="F652" s="210">
        <f>89280096-89280096</f>
        <v>0</v>
      </c>
      <c r="G652" s="210"/>
      <c r="H652" s="209">
        <v>86111604</v>
      </c>
      <c r="I652" s="203" t="s">
        <v>507</v>
      </c>
      <c r="J652" s="202">
        <v>3</v>
      </c>
      <c r="K652" s="202">
        <v>4</v>
      </c>
      <c r="L652" s="202">
        <v>8</v>
      </c>
      <c r="M652" s="185">
        <f t="shared" si="156"/>
        <v>1</v>
      </c>
      <c r="N652" s="193" t="s">
        <v>36</v>
      </c>
      <c r="O652" s="194" t="s">
        <v>256</v>
      </c>
      <c r="P652" s="211">
        <v>1</v>
      </c>
      <c r="Q652" s="196">
        <f t="shared" si="146"/>
        <v>0</v>
      </c>
      <c r="R652" s="196">
        <f t="shared" si="147"/>
        <v>0</v>
      </c>
      <c r="S652" s="201" t="s">
        <v>217</v>
      </c>
      <c r="T652" s="211">
        <f t="shared" si="158"/>
        <v>0</v>
      </c>
      <c r="U652" s="198" t="str">
        <f t="shared" si="157"/>
        <v>SUBDIRECCION DE GESTION CONTRACTUAL</v>
      </c>
      <c r="V652" s="211" t="s">
        <v>39</v>
      </c>
      <c r="W652" s="211" t="s">
        <v>38</v>
      </c>
      <c r="X652" s="209" t="s">
        <v>587</v>
      </c>
      <c r="Y652" s="202">
        <v>2427400</v>
      </c>
      <c r="Z652" s="212" t="s">
        <v>113</v>
      </c>
      <c r="AA652" s="134"/>
      <c r="AB652" s="134"/>
      <c r="AC652" s="134"/>
      <c r="AD652" s="134"/>
      <c r="AE652" s="134"/>
      <c r="AF652" s="134"/>
      <c r="AG652" s="134"/>
      <c r="AH652" s="134"/>
      <c r="AI652" s="134"/>
      <c r="AJ652" s="134"/>
      <c r="AK652" s="134"/>
      <c r="AL652" s="134"/>
      <c r="AM652" s="134"/>
      <c r="AN652" s="134"/>
      <c r="AO652" s="134"/>
      <c r="AP652" s="134"/>
      <c r="AQ652" s="134"/>
      <c r="AR652" s="134"/>
      <c r="AS652" s="134"/>
      <c r="AT652" s="134"/>
      <c r="AU652" s="132"/>
      <c r="AV652" s="132"/>
      <c r="AW652" s="132"/>
      <c r="AX652" s="132"/>
      <c r="AY652" s="132"/>
      <c r="AZ652" s="132"/>
      <c r="BA652" s="132"/>
      <c r="BB652" s="132"/>
      <c r="BC652" s="132"/>
      <c r="BD652" s="132"/>
      <c r="BE652" s="132"/>
      <c r="BF652" s="132"/>
      <c r="BG652" s="132"/>
      <c r="BH652" s="132"/>
      <c r="BI652" s="132"/>
      <c r="BJ652" s="132"/>
      <c r="BK652" s="132"/>
      <c r="BL652" s="132"/>
      <c r="BM652" s="132"/>
      <c r="BN652" s="132"/>
      <c r="BO652" s="132"/>
      <c r="BP652" s="132"/>
      <c r="BQ652" s="132"/>
      <c r="BR652" s="132"/>
      <c r="BS652" s="132"/>
      <c r="BT652" s="132"/>
      <c r="BU652" s="132"/>
      <c r="BV652" s="132"/>
      <c r="BW652" s="132"/>
      <c r="BX652" s="132"/>
      <c r="BY652" s="132"/>
      <c r="BZ652" s="132"/>
      <c r="CA652" s="132"/>
      <c r="CB652" s="132"/>
      <c r="CC652" s="132"/>
      <c r="CD652" s="132"/>
      <c r="CE652" s="132"/>
      <c r="CF652" s="132"/>
      <c r="CG652" s="140"/>
    </row>
    <row r="653" spans="1:85" s="139" customFormat="1" ht="13.9" customHeight="1" x14ac:dyDescent="0.2">
      <c r="A653" s="208" t="s">
        <v>156</v>
      </c>
      <c r="B653" s="202">
        <v>12</v>
      </c>
      <c r="C653" s="203" t="s">
        <v>159</v>
      </c>
      <c r="D653" s="209" t="s">
        <v>161</v>
      </c>
      <c r="E653" s="210"/>
      <c r="F653" s="210">
        <v>211356248</v>
      </c>
      <c r="G653" s="210"/>
      <c r="H653" s="209">
        <v>93141506</v>
      </c>
      <c r="I653" s="203" t="s">
        <v>508</v>
      </c>
      <c r="J653" s="202">
        <v>4</v>
      </c>
      <c r="K653" s="202">
        <v>4</v>
      </c>
      <c r="L653" s="202">
        <v>8</v>
      </c>
      <c r="M653" s="185">
        <f t="shared" si="156"/>
        <v>1</v>
      </c>
      <c r="N653" s="193" t="s">
        <v>36</v>
      </c>
      <c r="O653" s="194" t="s">
        <v>256</v>
      </c>
      <c r="P653" s="211">
        <v>1</v>
      </c>
      <c r="Q653" s="196">
        <f t="shared" si="146"/>
        <v>211356248</v>
      </c>
      <c r="R653" s="196">
        <f t="shared" si="147"/>
        <v>211356248</v>
      </c>
      <c r="S653" s="201" t="s">
        <v>217</v>
      </c>
      <c r="T653" s="211">
        <f t="shared" si="158"/>
        <v>0</v>
      </c>
      <c r="U653" s="198" t="str">
        <f t="shared" si="157"/>
        <v>SUBDIRECCION DE GESTION CONTRACTUAL</v>
      </c>
      <c r="V653" s="211" t="s">
        <v>39</v>
      </c>
      <c r="W653" s="211" t="s">
        <v>38</v>
      </c>
      <c r="X653" s="209" t="s">
        <v>587</v>
      </c>
      <c r="Y653" s="202">
        <v>2427400</v>
      </c>
      <c r="Z653" s="212" t="s">
        <v>113</v>
      </c>
      <c r="AA653" s="134"/>
      <c r="AB653" s="134"/>
      <c r="AC653" s="134"/>
      <c r="AD653" s="134"/>
      <c r="AE653" s="134"/>
      <c r="AF653" s="134"/>
      <c r="AG653" s="134"/>
      <c r="AH653" s="134"/>
      <c r="AI653" s="134"/>
      <c r="AJ653" s="134"/>
      <c r="AK653" s="134"/>
      <c r="AL653" s="134"/>
      <c r="AM653" s="134"/>
      <c r="AN653" s="134"/>
      <c r="AO653" s="134"/>
      <c r="AP653" s="134"/>
      <c r="AQ653" s="134"/>
      <c r="AR653" s="134"/>
      <c r="AS653" s="134"/>
      <c r="AT653" s="134"/>
      <c r="AU653" s="132"/>
      <c r="AV653" s="132"/>
      <c r="AW653" s="132"/>
      <c r="AX653" s="132"/>
      <c r="AY653" s="132"/>
      <c r="AZ653" s="132"/>
      <c r="BA653" s="132"/>
      <c r="BB653" s="132"/>
      <c r="BC653" s="132"/>
      <c r="BD653" s="132"/>
      <c r="BE653" s="132"/>
      <c r="BF653" s="132"/>
      <c r="BG653" s="132"/>
      <c r="BH653" s="132"/>
      <c r="BI653" s="132"/>
      <c r="BJ653" s="132"/>
      <c r="BK653" s="132"/>
      <c r="BL653" s="132"/>
      <c r="BM653" s="132"/>
      <c r="BN653" s="132"/>
      <c r="BO653" s="132"/>
      <c r="BP653" s="132"/>
      <c r="BQ653" s="132"/>
      <c r="BR653" s="132"/>
      <c r="BS653" s="132"/>
      <c r="BT653" s="132"/>
      <c r="BU653" s="132"/>
      <c r="BV653" s="132"/>
      <c r="BW653" s="132"/>
      <c r="BX653" s="132"/>
      <c r="BY653" s="132"/>
      <c r="BZ653" s="132"/>
      <c r="CA653" s="132"/>
      <c r="CB653" s="132"/>
      <c r="CC653" s="132"/>
      <c r="CD653" s="132"/>
      <c r="CE653" s="132"/>
      <c r="CF653" s="132"/>
      <c r="CG653" s="140"/>
    </row>
    <row r="654" spans="1:85" s="139" customFormat="1" ht="13.9" customHeight="1" x14ac:dyDescent="0.2">
      <c r="A654" s="208" t="s">
        <v>156</v>
      </c>
      <c r="B654" s="202">
        <v>13</v>
      </c>
      <c r="C654" s="203" t="s">
        <v>509</v>
      </c>
      <c r="D654" s="209" t="s">
        <v>65</v>
      </c>
      <c r="E654" s="210"/>
      <c r="F654" s="210">
        <v>487520379</v>
      </c>
      <c r="G654" s="210"/>
      <c r="H654" s="188" t="s">
        <v>42</v>
      </c>
      <c r="I654" s="203" t="s">
        <v>510</v>
      </c>
      <c r="J654" s="190">
        <v>3</v>
      </c>
      <c r="K654" s="191">
        <v>4</v>
      </c>
      <c r="L654" s="192">
        <v>9</v>
      </c>
      <c r="M654" s="185">
        <f t="shared" si="156"/>
        <v>1</v>
      </c>
      <c r="N654" s="193" t="s">
        <v>61</v>
      </c>
      <c r="O654" s="194" t="s">
        <v>902</v>
      </c>
      <c r="P654" s="211">
        <v>1</v>
      </c>
      <c r="Q654" s="196">
        <f t="shared" si="146"/>
        <v>487520379</v>
      </c>
      <c r="R654" s="196">
        <f t="shared" si="147"/>
        <v>487520379</v>
      </c>
      <c r="S654" s="201" t="s">
        <v>217</v>
      </c>
      <c r="T654" s="211">
        <f t="shared" si="158"/>
        <v>0</v>
      </c>
      <c r="U654" s="198" t="str">
        <f t="shared" si="157"/>
        <v>SUBDIRECCION DE GESTION CONTRACTUAL</v>
      </c>
      <c r="V654" s="185" t="str">
        <f t="shared" ref="V654:V685" si="159">IF(ISBLANK(N654),"","CO-DC")</f>
        <v>CO-DC</v>
      </c>
      <c r="W654" s="198" t="str">
        <f t="shared" ref="W654:W685" si="160">IF(ISBLANK(N654),"","Distrito Capital de Bogotá")</f>
        <v>Distrito Capital de Bogotá</v>
      </c>
      <c r="X654" s="199" t="s">
        <v>321</v>
      </c>
      <c r="Y654" s="202">
        <v>2427400</v>
      </c>
      <c r="Z654" s="212" t="s">
        <v>75</v>
      </c>
      <c r="AA654" s="134"/>
      <c r="AB654" s="134"/>
      <c r="AC654" s="134"/>
      <c r="AD654" s="134"/>
      <c r="AE654" s="134"/>
      <c r="AF654" s="134"/>
      <c r="AG654" s="134"/>
      <c r="AH654" s="134"/>
      <c r="AI654" s="134"/>
      <c r="AJ654" s="134"/>
      <c r="AK654" s="134"/>
      <c r="AL654" s="134"/>
      <c r="AM654" s="134"/>
      <c r="AN654" s="134"/>
      <c r="AO654" s="134"/>
      <c r="AP654" s="134"/>
      <c r="AQ654" s="134"/>
      <c r="AR654" s="134"/>
      <c r="AS654" s="134"/>
      <c r="AT654" s="134"/>
      <c r="AU654" s="132"/>
      <c r="AV654" s="132"/>
      <c r="AW654" s="132"/>
      <c r="AX654" s="132"/>
      <c r="AY654" s="132"/>
      <c r="AZ654" s="132"/>
      <c r="BA654" s="132"/>
      <c r="BB654" s="132"/>
      <c r="BC654" s="132"/>
      <c r="BD654" s="132"/>
      <c r="BE654" s="132"/>
      <c r="BF654" s="132"/>
      <c r="BG654" s="132"/>
      <c r="BH654" s="132"/>
      <c r="BI654" s="132"/>
      <c r="BJ654" s="132"/>
      <c r="BK654" s="132"/>
      <c r="BL654" s="132"/>
      <c r="BM654" s="132"/>
      <c r="BN654" s="132"/>
      <c r="BO654" s="132"/>
      <c r="BP654" s="132"/>
      <c r="BQ654" s="132"/>
      <c r="BR654" s="132"/>
      <c r="BS654" s="132"/>
      <c r="BT654" s="132"/>
      <c r="BU654" s="132"/>
      <c r="BV654" s="132"/>
      <c r="BW654" s="132"/>
      <c r="BX654" s="132"/>
      <c r="BY654" s="132"/>
      <c r="BZ654" s="132"/>
      <c r="CA654" s="132"/>
      <c r="CB654" s="132"/>
      <c r="CC654" s="132"/>
      <c r="CD654" s="132"/>
      <c r="CE654" s="132"/>
      <c r="CF654" s="132"/>
      <c r="CG654" s="140"/>
    </row>
    <row r="655" spans="1:85" s="139" customFormat="1" ht="13.9" customHeight="1" x14ac:dyDescent="0.2">
      <c r="A655" s="208" t="s">
        <v>152</v>
      </c>
      <c r="B655" s="202">
        <v>1</v>
      </c>
      <c r="C655" s="203" t="s">
        <v>538</v>
      </c>
      <c r="D655" s="209" t="s">
        <v>153</v>
      </c>
      <c r="E655" s="210"/>
      <c r="F655" s="210">
        <v>3707485959</v>
      </c>
      <c r="G655" s="210"/>
      <c r="H655" s="209" t="s">
        <v>707</v>
      </c>
      <c r="I655" s="203" t="s">
        <v>511</v>
      </c>
      <c r="J655" s="202">
        <v>1</v>
      </c>
      <c r="K655" s="202">
        <v>1</v>
      </c>
      <c r="L655" s="202">
        <v>12</v>
      </c>
      <c r="M655" s="185">
        <f t="shared" si="156"/>
        <v>1</v>
      </c>
      <c r="N655" s="193" t="s">
        <v>36</v>
      </c>
      <c r="O655" s="194" t="s">
        <v>256</v>
      </c>
      <c r="P655" s="211">
        <f t="shared" ref="P655:P686" si="161">IF(ISBLANK(N655),"",1)</f>
        <v>1</v>
      </c>
      <c r="Q655" s="196">
        <f t="shared" si="146"/>
        <v>3707485959</v>
      </c>
      <c r="R655" s="196">
        <f t="shared" si="147"/>
        <v>3707485959</v>
      </c>
      <c r="S655" s="201" t="s">
        <v>217</v>
      </c>
      <c r="T655" s="211">
        <f t="shared" si="158"/>
        <v>0</v>
      </c>
      <c r="U655" s="198" t="str">
        <f t="shared" si="157"/>
        <v>SUBDIRECCION DE GESTION CONTRACTUAL</v>
      </c>
      <c r="V655" s="211" t="str">
        <f t="shared" si="159"/>
        <v>CO-DC</v>
      </c>
      <c r="W655" s="211" t="str">
        <f t="shared" si="160"/>
        <v>Distrito Capital de Bogotá</v>
      </c>
      <c r="X655" s="209" t="s">
        <v>512</v>
      </c>
      <c r="Y655" s="202">
        <v>2427400</v>
      </c>
      <c r="Z655" s="212" t="s">
        <v>154</v>
      </c>
      <c r="AA655" s="134"/>
      <c r="AB655" s="134"/>
      <c r="AC655" s="134"/>
      <c r="AD655" s="134"/>
      <c r="AE655" s="134"/>
      <c r="AF655" s="134"/>
      <c r="AG655" s="134"/>
      <c r="AH655" s="134"/>
      <c r="AI655" s="134"/>
      <c r="AJ655" s="134"/>
      <c r="AK655" s="134"/>
      <c r="AL655" s="134"/>
      <c r="AM655" s="134"/>
      <c r="AN655" s="134"/>
      <c r="AO655" s="134"/>
      <c r="AP655" s="134"/>
      <c r="AQ655" s="134"/>
      <c r="AR655" s="134"/>
      <c r="AS655" s="134"/>
      <c r="AT655" s="134"/>
      <c r="AU655" s="132"/>
      <c r="AV655" s="132"/>
      <c r="AW655" s="132"/>
      <c r="AX655" s="132"/>
      <c r="AY655" s="132"/>
      <c r="AZ655" s="132"/>
      <c r="BA655" s="132"/>
      <c r="BB655" s="132"/>
      <c r="BC655" s="132"/>
      <c r="BD655" s="132"/>
      <c r="BE655" s="132"/>
      <c r="BF655" s="132"/>
      <c r="BG655" s="132"/>
      <c r="BH655" s="132"/>
      <c r="BI655" s="132"/>
      <c r="BJ655" s="132"/>
      <c r="BK655" s="132"/>
      <c r="BL655" s="132"/>
      <c r="BM655" s="132"/>
      <c r="BN655" s="132"/>
      <c r="BO655" s="132"/>
      <c r="BP655" s="132"/>
      <c r="BQ655" s="132"/>
      <c r="BR655" s="132"/>
      <c r="BS655" s="132"/>
      <c r="BT655" s="132"/>
      <c r="BU655" s="132"/>
      <c r="BV655" s="132"/>
      <c r="BW655" s="132"/>
      <c r="BX655" s="132"/>
      <c r="BY655" s="132"/>
      <c r="BZ655" s="132"/>
      <c r="CA655" s="132"/>
      <c r="CB655" s="132"/>
      <c r="CC655" s="132"/>
      <c r="CD655" s="132"/>
      <c r="CE655" s="132"/>
      <c r="CF655" s="132"/>
      <c r="CG655" s="140"/>
    </row>
    <row r="656" spans="1:85" s="139" customFormat="1" ht="13.9" customHeight="1" x14ac:dyDescent="0.2">
      <c r="A656" s="208" t="s">
        <v>152</v>
      </c>
      <c r="B656" s="202">
        <v>2</v>
      </c>
      <c r="C656" s="203" t="s">
        <v>538</v>
      </c>
      <c r="D656" s="209" t="s">
        <v>153</v>
      </c>
      <c r="E656" s="210"/>
      <c r="F656" s="210">
        <v>4613461369</v>
      </c>
      <c r="G656" s="210"/>
      <c r="H656" s="209">
        <v>45121500</v>
      </c>
      <c r="I656" s="203" t="s">
        <v>513</v>
      </c>
      <c r="J656" s="202">
        <v>1</v>
      </c>
      <c r="K656" s="202">
        <v>1</v>
      </c>
      <c r="L656" s="202">
        <v>12</v>
      </c>
      <c r="M656" s="185">
        <f t="shared" si="156"/>
        <v>1</v>
      </c>
      <c r="N656" s="193" t="s">
        <v>36</v>
      </c>
      <c r="O656" s="194" t="s">
        <v>256</v>
      </c>
      <c r="P656" s="211">
        <f t="shared" si="161"/>
        <v>1</v>
      </c>
      <c r="Q656" s="196">
        <f t="shared" si="146"/>
        <v>4613461369</v>
      </c>
      <c r="R656" s="196">
        <f t="shared" si="147"/>
        <v>4613461369</v>
      </c>
      <c r="S656" s="201" t="s">
        <v>217</v>
      </c>
      <c r="T656" s="211">
        <f t="shared" si="158"/>
        <v>0</v>
      </c>
      <c r="U656" s="198" t="str">
        <f t="shared" si="157"/>
        <v>SUBDIRECCION DE GESTION CONTRACTUAL</v>
      </c>
      <c r="V656" s="211" t="str">
        <f t="shared" si="159"/>
        <v>CO-DC</v>
      </c>
      <c r="W656" s="211" t="str">
        <f t="shared" si="160"/>
        <v>Distrito Capital de Bogotá</v>
      </c>
      <c r="X656" s="209" t="s">
        <v>512</v>
      </c>
      <c r="Y656" s="202">
        <v>2427400</v>
      </c>
      <c r="Z656" s="212" t="s">
        <v>154</v>
      </c>
      <c r="AA656" s="134"/>
      <c r="AB656" s="134"/>
      <c r="AC656" s="134"/>
      <c r="AD656" s="134"/>
      <c r="AE656" s="134"/>
      <c r="AF656" s="134"/>
      <c r="AG656" s="134"/>
      <c r="AH656" s="134"/>
      <c r="AI656" s="134"/>
      <c r="AJ656" s="134"/>
      <c r="AK656" s="134"/>
      <c r="AL656" s="134"/>
      <c r="AM656" s="134"/>
      <c r="AN656" s="134"/>
      <c r="AO656" s="134"/>
      <c r="AP656" s="134"/>
      <c r="AQ656" s="134"/>
      <c r="AR656" s="134"/>
      <c r="AS656" s="134"/>
      <c r="AT656" s="134"/>
      <c r="AU656" s="132"/>
      <c r="AV656" s="132"/>
      <c r="AW656" s="132"/>
      <c r="AX656" s="132"/>
      <c r="AY656" s="132"/>
      <c r="AZ656" s="132"/>
      <c r="BA656" s="132"/>
      <c r="BB656" s="132"/>
      <c r="BC656" s="132"/>
      <c r="BD656" s="132"/>
      <c r="BE656" s="132"/>
      <c r="BF656" s="132"/>
      <c r="BG656" s="132"/>
      <c r="BH656" s="132"/>
      <c r="BI656" s="132"/>
      <c r="BJ656" s="132"/>
      <c r="BK656" s="132"/>
      <c r="BL656" s="132"/>
      <c r="BM656" s="132"/>
      <c r="BN656" s="132"/>
      <c r="BO656" s="132"/>
      <c r="BP656" s="132"/>
      <c r="BQ656" s="132"/>
      <c r="BR656" s="132"/>
      <c r="BS656" s="132"/>
      <c r="BT656" s="132"/>
      <c r="BU656" s="132"/>
      <c r="BV656" s="132"/>
      <c r="BW656" s="132"/>
      <c r="BX656" s="132"/>
      <c r="BY656" s="132"/>
      <c r="BZ656" s="132"/>
      <c r="CA656" s="132"/>
      <c r="CB656" s="132"/>
      <c r="CC656" s="132"/>
      <c r="CD656" s="132"/>
      <c r="CE656" s="132"/>
      <c r="CF656" s="132"/>
      <c r="CG656" s="140"/>
    </row>
    <row r="657" spans="1:85" s="139" customFormat="1" ht="13.9" customHeight="1" x14ac:dyDescent="0.2">
      <c r="A657" s="208" t="s">
        <v>152</v>
      </c>
      <c r="B657" s="202">
        <v>3</v>
      </c>
      <c r="C657" s="203" t="s">
        <v>538</v>
      </c>
      <c r="D657" s="209" t="s">
        <v>153</v>
      </c>
      <c r="E657" s="210"/>
      <c r="F657" s="210">
        <v>7993465398.3800001</v>
      </c>
      <c r="G657" s="210"/>
      <c r="H657" s="209" t="s">
        <v>707</v>
      </c>
      <c r="I657" s="203" t="s">
        <v>514</v>
      </c>
      <c r="J657" s="202">
        <v>1</v>
      </c>
      <c r="K657" s="202">
        <v>1</v>
      </c>
      <c r="L657" s="202">
        <v>12</v>
      </c>
      <c r="M657" s="185">
        <f t="shared" si="156"/>
        <v>1</v>
      </c>
      <c r="N657" s="193" t="s">
        <v>36</v>
      </c>
      <c r="O657" s="194" t="s">
        <v>256</v>
      </c>
      <c r="P657" s="211">
        <f t="shared" si="161"/>
        <v>1</v>
      </c>
      <c r="Q657" s="196">
        <f t="shared" si="146"/>
        <v>7993465398.3800001</v>
      </c>
      <c r="R657" s="196">
        <f t="shared" si="147"/>
        <v>7993465398.3800001</v>
      </c>
      <c r="S657" s="201" t="s">
        <v>217</v>
      </c>
      <c r="T657" s="211">
        <f t="shared" si="158"/>
        <v>0</v>
      </c>
      <c r="U657" s="198" t="str">
        <f t="shared" si="157"/>
        <v>SUBDIRECCION DE GESTION CONTRACTUAL</v>
      </c>
      <c r="V657" s="211" t="str">
        <f t="shared" si="159"/>
        <v>CO-DC</v>
      </c>
      <c r="W657" s="211" t="str">
        <f t="shared" si="160"/>
        <v>Distrito Capital de Bogotá</v>
      </c>
      <c r="X657" s="209" t="s">
        <v>512</v>
      </c>
      <c r="Y657" s="202">
        <v>2427400</v>
      </c>
      <c r="Z657" s="212" t="s">
        <v>154</v>
      </c>
      <c r="AA657" s="134"/>
      <c r="AB657" s="134"/>
      <c r="AC657" s="134"/>
      <c r="AD657" s="134"/>
      <c r="AE657" s="134"/>
      <c r="AF657" s="134"/>
      <c r="AG657" s="134"/>
      <c r="AH657" s="134"/>
      <c r="AI657" s="134"/>
      <c r="AJ657" s="134"/>
      <c r="AK657" s="134"/>
      <c r="AL657" s="134"/>
      <c r="AM657" s="134"/>
      <c r="AN657" s="134"/>
      <c r="AO657" s="134"/>
      <c r="AP657" s="134"/>
      <c r="AQ657" s="134"/>
      <c r="AR657" s="134"/>
      <c r="AS657" s="134"/>
      <c r="AT657" s="134"/>
      <c r="AU657" s="132"/>
      <c r="AV657" s="132"/>
      <c r="AW657" s="132"/>
      <c r="AX657" s="132"/>
      <c r="AY657" s="132"/>
      <c r="AZ657" s="132"/>
      <c r="BA657" s="132"/>
      <c r="BB657" s="132"/>
      <c r="BC657" s="132"/>
      <c r="BD657" s="132"/>
      <c r="BE657" s="132"/>
      <c r="BF657" s="132"/>
      <c r="BG657" s="132"/>
      <c r="BH657" s="132"/>
      <c r="BI657" s="132"/>
      <c r="BJ657" s="132"/>
      <c r="BK657" s="132"/>
      <c r="BL657" s="132"/>
      <c r="BM657" s="132"/>
      <c r="BN657" s="132"/>
      <c r="BO657" s="132"/>
      <c r="BP657" s="132"/>
      <c r="BQ657" s="132"/>
      <c r="BR657" s="132"/>
      <c r="BS657" s="132"/>
      <c r="BT657" s="132"/>
      <c r="BU657" s="132"/>
      <c r="BV657" s="132"/>
      <c r="BW657" s="132"/>
      <c r="BX657" s="132"/>
      <c r="BY657" s="132"/>
      <c r="BZ657" s="132"/>
      <c r="CA657" s="132"/>
      <c r="CB657" s="132"/>
      <c r="CC657" s="132"/>
      <c r="CD657" s="132"/>
      <c r="CE657" s="132"/>
      <c r="CF657" s="132"/>
      <c r="CG657" s="140"/>
    </row>
    <row r="658" spans="1:85" s="139" customFormat="1" ht="13.9" customHeight="1" x14ac:dyDescent="0.2">
      <c r="A658" s="208" t="s">
        <v>152</v>
      </c>
      <c r="B658" s="202">
        <v>4</v>
      </c>
      <c r="C658" s="203" t="s">
        <v>538</v>
      </c>
      <c r="D658" s="209" t="s">
        <v>153</v>
      </c>
      <c r="E658" s="210"/>
      <c r="F658" s="210">
        <v>4200003823</v>
      </c>
      <c r="G658" s="210"/>
      <c r="H658" s="209">
        <v>45121500</v>
      </c>
      <c r="I658" s="203" t="s">
        <v>515</v>
      </c>
      <c r="J658" s="202">
        <v>1</v>
      </c>
      <c r="K658" s="202">
        <v>1</v>
      </c>
      <c r="L658" s="202">
        <v>12</v>
      </c>
      <c r="M658" s="185">
        <f t="shared" si="156"/>
        <v>1</v>
      </c>
      <c r="N658" s="193" t="s">
        <v>36</v>
      </c>
      <c r="O658" s="194" t="s">
        <v>256</v>
      </c>
      <c r="P658" s="211">
        <f t="shared" si="161"/>
        <v>1</v>
      </c>
      <c r="Q658" s="196">
        <f t="shared" si="146"/>
        <v>4200003823</v>
      </c>
      <c r="R658" s="196">
        <f t="shared" si="147"/>
        <v>4200003823</v>
      </c>
      <c r="S658" s="201" t="s">
        <v>217</v>
      </c>
      <c r="T658" s="211">
        <f t="shared" si="158"/>
        <v>0</v>
      </c>
      <c r="U658" s="198" t="str">
        <f t="shared" si="157"/>
        <v>SUBDIRECCION DE GESTION CONTRACTUAL</v>
      </c>
      <c r="V658" s="211" t="str">
        <f t="shared" si="159"/>
        <v>CO-DC</v>
      </c>
      <c r="W658" s="211" t="str">
        <f t="shared" si="160"/>
        <v>Distrito Capital de Bogotá</v>
      </c>
      <c r="X658" s="209" t="s">
        <v>512</v>
      </c>
      <c r="Y658" s="202">
        <v>2427400</v>
      </c>
      <c r="Z658" s="212" t="s">
        <v>154</v>
      </c>
      <c r="AA658" s="134"/>
      <c r="AB658" s="134"/>
      <c r="AC658" s="134"/>
      <c r="AD658" s="134"/>
      <c r="AE658" s="134"/>
      <c r="AF658" s="134"/>
      <c r="AG658" s="134"/>
      <c r="AH658" s="134"/>
      <c r="AI658" s="134"/>
      <c r="AJ658" s="134"/>
      <c r="AK658" s="134"/>
      <c r="AL658" s="134"/>
      <c r="AM658" s="134"/>
      <c r="AN658" s="134"/>
      <c r="AO658" s="134"/>
      <c r="AP658" s="134"/>
      <c r="AQ658" s="134"/>
      <c r="AR658" s="134"/>
      <c r="AS658" s="134"/>
      <c r="AT658" s="134"/>
      <c r="AU658" s="132"/>
      <c r="AV658" s="132"/>
      <c r="AW658" s="132"/>
      <c r="AX658" s="132"/>
      <c r="AY658" s="132"/>
      <c r="AZ658" s="132"/>
      <c r="BA658" s="132"/>
      <c r="BB658" s="132"/>
      <c r="BC658" s="132"/>
      <c r="BD658" s="132"/>
      <c r="BE658" s="132"/>
      <c r="BF658" s="132"/>
      <c r="BG658" s="132"/>
      <c r="BH658" s="132"/>
      <c r="BI658" s="132"/>
      <c r="BJ658" s="132"/>
      <c r="BK658" s="132"/>
      <c r="BL658" s="132"/>
      <c r="BM658" s="132"/>
      <c r="BN658" s="132"/>
      <c r="BO658" s="132"/>
      <c r="BP658" s="132"/>
      <c r="BQ658" s="132"/>
      <c r="BR658" s="132"/>
      <c r="BS658" s="132"/>
      <c r="BT658" s="132"/>
      <c r="BU658" s="132"/>
      <c r="BV658" s="132"/>
      <c r="BW658" s="132"/>
      <c r="BX658" s="132"/>
      <c r="BY658" s="132"/>
      <c r="BZ658" s="132"/>
      <c r="CA658" s="132"/>
      <c r="CB658" s="132"/>
      <c r="CC658" s="132"/>
      <c r="CD658" s="132"/>
      <c r="CE658" s="132"/>
      <c r="CF658" s="132"/>
      <c r="CG658" s="140"/>
    </row>
    <row r="659" spans="1:85" s="139" customFormat="1" ht="13.9" customHeight="1" x14ac:dyDescent="0.2">
      <c r="A659" s="208" t="s">
        <v>152</v>
      </c>
      <c r="B659" s="202">
        <v>5</v>
      </c>
      <c r="C659" s="203" t="s">
        <v>538</v>
      </c>
      <c r="D659" s="209" t="s">
        <v>153</v>
      </c>
      <c r="E659" s="210"/>
      <c r="F659" s="210">
        <v>1906418842</v>
      </c>
      <c r="G659" s="210"/>
      <c r="H659" s="209" t="s">
        <v>703</v>
      </c>
      <c r="I659" s="203" t="s">
        <v>516</v>
      </c>
      <c r="J659" s="202">
        <v>1</v>
      </c>
      <c r="K659" s="202">
        <v>1</v>
      </c>
      <c r="L659" s="202">
        <v>12</v>
      </c>
      <c r="M659" s="185">
        <f t="shared" si="156"/>
        <v>1</v>
      </c>
      <c r="N659" s="193" t="s">
        <v>36</v>
      </c>
      <c r="O659" s="194" t="s">
        <v>256</v>
      </c>
      <c r="P659" s="211">
        <f t="shared" si="161"/>
        <v>1</v>
      </c>
      <c r="Q659" s="196">
        <f t="shared" si="146"/>
        <v>1906418842</v>
      </c>
      <c r="R659" s="196">
        <f t="shared" si="147"/>
        <v>1906418842</v>
      </c>
      <c r="S659" s="201" t="s">
        <v>217</v>
      </c>
      <c r="T659" s="211">
        <f t="shared" si="158"/>
        <v>0</v>
      </c>
      <c r="U659" s="198" t="str">
        <f t="shared" si="157"/>
        <v>SUBDIRECCION DE GESTION CONTRACTUAL</v>
      </c>
      <c r="V659" s="211" t="str">
        <f t="shared" si="159"/>
        <v>CO-DC</v>
      </c>
      <c r="W659" s="211" t="str">
        <f t="shared" si="160"/>
        <v>Distrito Capital de Bogotá</v>
      </c>
      <c r="X659" s="209" t="s">
        <v>512</v>
      </c>
      <c r="Y659" s="202">
        <v>2427400</v>
      </c>
      <c r="Z659" s="212" t="s">
        <v>154</v>
      </c>
      <c r="AA659" s="134"/>
      <c r="AB659" s="134"/>
      <c r="AC659" s="134"/>
      <c r="AD659" s="134"/>
      <c r="AE659" s="134"/>
      <c r="AF659" s="134"/>
      <c r="AG659" s="134"/>
      <c r="AH659" s="134"/>
      <c r="AI659" s="134"/>
      <c r="AJ659" s="134"/>
      <c r="AK659" s="134"/>
      <c r="AL659" s="134"/>
      <c r="AM659" s="134"/>
      <c r="AN659" s="134"/>
      <c r="AO659" s="134"/>
      <c r="AP659" s="134"/>
      <c r="AQ659" s="134"/>
      <c r="AR659" s="134"/>
      <c r="AS659" s="134"/>
      <c r="AT659" s="134"/>
      <c r="AU659" s="132"/>
      <c r="AV659" s="132"/>
      <c r="AW659" s="132"/>
      <c r="AX659" s="132"/>
      <c r="AY659" s="132"/>
      <c r="AZ659" s="132"/>
      <c r="BA659" s="132"/>
      <c r="BB659" s="132"/>
      <c r="BC659" s="132"/>
      <c r="BD659" s="132"/>
      <c r="BE659" s="132"/>
      <c r="BF659" s="132"/>
      <c r="BG659" s="132"/>
      <c r="BH659" s="132"/>
      <c r="BI659" s="132"/>
      <c r="BJ659" s="132"/>
      <c r="BK659" s="132"/>
      <c r="BL659" s="132"/>
      <c r="BM659" s="132"/>
      <c r="BN659" s="132"/>
      <c r="BO659" s="132"/>
      <c r="BP659" s="132"/>
      <c r="BQ659" s="132"/>
      <c r="BR659" s="132"/>
      <c r="BS659" s="132"/>
      <c r="BT659" s="132"/>
      <c r="BU659" s="132"/>
      <c r="BV659" s="132"/>
      <c r="BW659" s="132"/>
      <c r="BX659" s="132"/>
      <c r="BY659" s="132"/>
      <c r="BZ659" s="132"/>
      <c r="CA659" s="132"/>
      <c r="CB659" s="132"/>
      <c r="CC659" s="132"/>
      <c r="CD659" s="132"/>
      <c r="CE659" s="132"/>
      <c r="CF659" s="132"/>
      <c r="CG659" s="140"/>
    </row>
    <row r="660" spans="1:85" s="139" customFormat="1" ht="13.9" customHeight="1" x14ac:dyDescent="0.2">
      <c r="A660" s="208" t="s">
        <v>152</v>
      </c>
      <c r="B660" s="202">
        <v>6</v>
      </c>
      <c r="C660" s="203" t="s">
        <v>538</v>
      </c>
      <c r="D660" s="209" t="s">
        <v>153</v>
      </c>
      <c r="E660" s="210"/>
      <c r="F660" s="210">
        <v>2327373330</v>
      </c>
      <c r="G660" s="210"/>
      <c r="H660" s="209" t="s">
        <v>703</v>
      </c>
      <c r="I660" s="203" t="s">
        <v>517</v>
      </c>
      <c r="J660" s="202">
        <v>1</v>
      </c>
      <c r="K660" s="202">
        <v>1</v>
      </c>
      <c r="L660" s="202">
        <v>12</v>
      </c>
      <c r="M660" s="185">
        <f t="shared" si="156"/>
        <v>1</v>
      </c>
      <c r="N660" s="193" t="s">
        <v>36</v>
      </c>
      <c r="O660" s="194" t="s">
        <v>256</v>
      </c>
      <c r="P660" s="211">
        <f t="shared" si="161"/>
        <v>1</v>
      </c>
      <c r="Q660" s="196">
        <f t="shared" si="146"/>
        <v>2327373330</v>
      </c>
      <c r="R660" s="196">
        <f t="shared" si="147"/>
        <v>2327373330</v>
      </c>
      <c r="S660" s="201" t="s">
        <v>217</v>
      </c>
      <c r="T660" s="211">
        <f t="shared" si="158"/>
        <v>0</v>
      </c>
      <c r="U660" s="198" t="str">
        <f t="shared" si="157"/>
        <v>SUBDIRECCION DE GESTION CONTRACTUAL</v>
      </c>
      <c r="V660" s="211" t="str">
        <f t="shared" si="159"/>
        <v>CO-DC</v>
      </c>
      <c r="W660" s="211" t="str">
        <f t="shared" si="160"/>
        <v>Distrito Capital de Bogotá</v>
      </c>
      <c r="X660" s="209" t="s">
        <v>512</v>
      </c>
      <c r="Y660" s="202">
        <v>2427400</v>
      </c>
      <c r="Z660" s="212" t="s">
        <v>154</v>
      </c>
      <c r="AA660" s="134"/>
      <c r="AB660" s="134"/>
      <c r="AC660" s="134"/>
      <c r="AD660" s="134"/>
      <c r="AE660" s="134"/>
      <c r="AF660" s="134"/>
      <c r="AG660" s="134"/>
      <c r="AH660" s="134"/>
      <c r="AI660" s="134"/>
      <c r="AJ660" s="134"/>
      <c r="AK660" s="134"/>
      <c r="AL660" s="134"/>
      <c r="AM660" s="134"/>
      <c r="AN660" s="134"/>
      <c r="AO660" s="134"/>
      <c r="AP660" s="134"/>
      <c r="AQ660" s="134"/>
      <c r="AR660" s="134"/>
      <c r="AS660" s="134"/>
      <c r="AT660" s="134"/>
      <c r="AU660" s="132"/>
      <c r="AV660" s="132"/>
      <c r="AW660" s="132"/>
      <c r="AX660" s="132"/>
      <c r="AY660" s="132"/>
      <c r="AZ660" s="132"/>
      <c r="BA660" s="132"/>
      <c r="BB660" s="132"/>
      <c r="BC660" s="132"/>
      <c r="BD660" s="132"/>
      <c r="BE660" s="132"/>
      <c r="BF660" s="132"/>
      <c r="BG660" s="132"/>
      <c r="BH660" s="132"/>
      <c r="BI660" s="132"/>
      <c r="BJ660" s="132"/>
      <c r="BK660" s="132"/>
      <c r="BL660" s="132"/>
      <c r="BM660" s="132"/>
      <c r="BN660" s="132"/>
      <c r="BO660" s="132"/>
      <c r="BP660" s="132"/>
      <c r="BQ660" s="132"/>
      <c r="BR660" s="132"/>
      <c r="BS660" s="132"/>
      <c r="BT660" s="132"/>
      <c r="BU660" s="132"/>
      <c r="BV660" s="132"/>
      <c r="BW660" s="132"/>
      <c r="BX660" s="132"/>
      <c r="BY660" s="132"/>
      <c r="BZ660" s="132"/>
      <c r="CA660" s="132"/>
      <c r="CB660" s="132"/>
      <c r="CC660" s="132"/>
      <c r="CD660" s="132"/>
      <c r="CE660" s="132"/>
      <c r="CF660" s="132"/>
      <c r="CG660" s="140"/>
    </row>
    <row r="661" spans="1:85" s="139" customFormat="1" ht="13.9" customHeight="1" x14ac:dyDescent="0.2">
      <c r="A661" s="208" t="s">
        <v>152</v>
      </c>
      <c r="B661" s="202">
        <v>7</v>
      </c>
      <c r="C661" s="203" t="s">
        <v>538</v>
      </c>
      <c r="D661" s="209" t="s">
        <v>153</v>
      </c>
      <c r="E661" s="210"/>
      <c r="F661" s="210">
        <v>1310662954</v>
      </c>
      <c r="G661" s="210"/>
      <c r="H661" s="209" t="s">
        <v>703</v>
      </c>
      <c r="I661" s="203" t="s">
        <v>518</v>
      </c>
      <c r="J661" s="202">
        <v>1</v>
      </c>
      <c r="K661" s="202">
        <v>1</v>
      </c>
      <c r="L661" s="202">
        <v>12</v>
      </c>
      <c r="M661" s="185">
        <f t="shared" si="156"/>
        <v>1</v>
      </c>
      <c r="N661" s="193" t="s">
        <v>36</v>
      </c>
      <c r="O661" s="194" t="s">
        <v>256</v>
      </c>
      <c r="P661" s="211">
        <f t="shared" si="161"/>
        <v>1</v>
      </c>
      <c r="Q661" s="196">
        <f t="shared" si="146"/>
        <v>1310662954</v>
      </c>
      <c r="R661" s="196">
        <f t="shared" si="147"/>
        <v>1310662954</v>
      </c>
      <c r="S661" s="201" t="s">
        <v>217</v>
      </c>
      <c r="T661" s="211">
        <f t="shared" si="158"/>
        <v>0</v>
      </c>
      <c r="U661" s="198" t="str">
        <f t="shared" si="157"/>
        <v>SUBDIRECCION DE GESTION CONTRACTUAL</v>
      </c>
      <c r="V661" s="211" t="str">
        <f t="shared" si="159"/>
        <v>CO-DC</v>
      </c>
      <c r="W661" s="211" t="str">
        <f t="shared" si="160"/>
        <v>Distrito Capital de Bogotá</v>
      </c>
      <c r="X661" s="209" t="s">
        <v>512</v>
      </c>
      <c r="Y661" s="202">
        <v>2427400</v>
      </c>
      <c r="Z661" s="212" t="s">
        <v>154</v>
      </c>
      <c r="AA661" s="134"/>
      <c r="AB661" s="134"/>
      <c r="AC661" s="134"/>
      <c r="AD661" s="134"/>
      <c r="AE661" s="134"/>
      <c r="AF661" s="134"/>
      <c r="AG661" s="134"/>
      <c r="AH661" s="134"/>
      <c r="AI661" s="134"/>
      <c r="AJ661" s="134"/>
      <c r="AK661" s="134"/>
      <c r="AL661" s="134"/>
      <c r="AM661" s="134"/>
      <c r="AN661" s="134"/>
      <c r="AO661" s="134"/>
      <c r="AP661" s="134"/>
      <c r="AQ661" s="134"/>
      <c r="AR661" s="134"/>
      <c r="AS661" s="134"/>
      <c r="AT661" s="134"/>
      <c r="AU661" s="132"/>
      <c r="AV661" s="132"/>
      <c r="AW661" s="132"/>
      <c r="AX661" s="132"/>
      <c r="AY661" s="132"/>
      <c r="AZ661" s="132"/>
      <c r="BA661" s="132"/>
      <c r="BB661" s="132"/>
      <c r="BC661" s="132"/>
      <c r="BD661" s="132"/>
      <c r="BE661" s="132"/>
      <c r="BF661" s="132"/>
      <c r="BG661" s="132"/>
      <c r="BH661" s="132"/>
      <c r="BI661" s="132"/>
      <c r="BJ661" s="132"/>
      <c r="BK661" s="132"/>
      <c r="BL661" s="132"/>
      <c r="BM661" s="132"/>
      <c r="BN661" s="132"/>
      <c r="BO661" s="132"/>
      <c r="BP661" s="132"/>
      <c r="BQ661" s="132"/>
      <c r="BR661" s="132"/>
      <c r="BS661" s="132"/>
      <c r="BT661" s="132"/>
      <c r="BU661" s="132"/>
      <c r="BV661" s="132"/>
      <c r="BW661" s="132"/>
      <c r="BX661" s="132"/>
      <c r="BY661" s="132"/>
      <c r="BZ661" s="132"/>
      <c r="CA661" s="132"/>
      <c r="CB661" s="132"/>
      <c r="CC661" s="132"/>
      <c r="CD661" s="132"/>
      <c r="CE661" s="132"/>
      <c r="CF661" s="132"/>
      <c r="CG661" s="140"/>
    </row>
    <row r="662" spans="1:85" s="139" customFormat="1" ht="13.9" customHeight="1" x14ac:dyDescent="0.2">
      <c r="A662" s="208" t="s">
        <v>152</v>
      </c>
      <c r="B662" s="202">
        <v>8</v>
      </c>
      <c r="C662" s="203" t="s">
        <v>538</v>
      </c>
      <c r="D662" s="209" t="s">
        <v>153</v>
      </c>
      <c r="E662" s="210"/>
      <c r="F662" s="210">
        <v>1600069165</v>
      </c>
      <c r="G662" s="210"/>
      <c r="H662" s="209" t="s">
        <v>703</v>
      </c>
      <c r="I662" s="203" t="s">
        <v>519</v>
      </c>
      <c r="J662" s="202">
        <v>1</v>
      </c>
      <c r="K662" s="202">
        <v>1</v>
      </c>
      <c r="L662" s="202">
        <v>12</v>
      </c>
      <c r="M662" s="185">
        <f t="shared" si="156"/>
        <v>1</v>
      </c>
      <c r="N662" s="193" t="s">
        <v>36</v>
      </c>
      <c r="O662" s="194" t="s">
        <v>256</v>
      </c>
      <c r="P662" s="211">
        <f t="shared" si="161"/>
        <v>1</v>
      </c>
      <c r="Q662" s="196">
        <f t="shared" si="146"/>
        <v>1600069165</v>
      </c>
      <c r="R662" s="196">
        <f t="shared" si="147"/>
        <v>1600069165</v>
      </c>
      <c r="S662" s="201" t="s">
        <v>217</v>
      </c>
      <c r="T662" s="211">
        <f t="shared" si="158"/>
        <v>0</v>
      </c>
      <c r="U662" s="198" t="str">
        <f t="shared" si="157"/>
        <v>SUBDIRECCION DE GESTION CONTRACTUAL</v>
      </c>
      <c r="V662" s="211" t="str">
        <f t="shared" si="159"/>
        <v>CO-DC</v>
      </c>
      <c r="W662" s="211" t="str">
        <f t="shared" si="160"/>
        <v>Distrito Capital de Bogotá</v>
      </c>
      <c r="X662" s="209" t="s">
        <v>512</v>
      </c>
      <c r="Y662" s="202">
        <v>2427400</v>
      </c>
      <c r="Z662" s="212" t="s">
        <v>154</v>
      </c>
      <c r="AA662" s="134"/>
      <c r="AB662" s="134"/>
      <c r="AC662" s="134"/>
      <c r="AD662" s="134"/>
      <c r="AE662" s="134"/>
      <c r="AF662" s="134"/>
      <c r="AG662" s="134"/>
      <c r="AH662" s="134"/>
      <c r="AI662" s="134"/>
      <c r="AJ662" s="134"/>
      <c r="AK662" s="134"/>
      <c r="AL662" s="134"/>
      <c r="AM662" s="134"/>
      <c r="AN662" s="134"/>
      <c r="AO662" s="134"/>
      <c r="AP662" s="134"/>
      <c r="AQ662" s="134"/>
      <c r="AR662" s="134"/>
      <c r="AS662" s="134"/>
      <c r="AT662" s="134"/>
      <c r="AU662" s="132"/>
      <c r="AV662" s="132"/>
      <c r="AW662" s="132"/>
      <c r="AX662" s="132"/>
      <c r="AY662" s="132"/>
      <c r="AZ662" s="132"/>
      <c r="BA662" s="132"/>
      <c r="BB662" s="132"/>
      <c r="BC662" s="132"/>
      <c r="BD662" s="132"/>
      <c r="BE662" s="132"/>
      <c r="BF662" s="132"/>
      <c r="BG662" s="132"/>
      <c r="BH662" s="132"/>
      <c r="BI662" s="132"/>
      <c r="BJ662" s="132"/>
      <c r="BK662" s="132"/>
      <c r="BL662" s="132"/>
      <c r="BM662" s="132"/>
      <c r="BN662" s="132"/>
      <c r="BO662" s="132"/>
      <c r="BP662" s="132"/>
      <c r="BQ662" s="132"/>
      <c r="BR662" s="132"/>
      <c r="BS662" s="132"/>
      <c r="BT662" s="132"/>
      <c r="BU662" s="132"/>
      <c r="BV662" s="132"/>
      <c r="BW662" s="132"/>
      <c r="BX662" s="132"/>
      <c r="BY662" s="132"/>
      <c r="BZ662" s="132"/>
      <c r="CA662" s="132"/>
      <c r="CB662" s="132"/>
      <c r="CC662" s="132"/>
      <c r="CD662" s="132"/>
      <c r="CE662" s="132"/>
      <c r="CF662" s="132"/>
      <c r="CG662" s="140"/>
    </row>
    <row r="663" spans="1:85" s="139" customFormat="1" ht="13.9" customHeight="1" x14ac:dyDescent="0.2">
      <c r="A663" s="208" t="s">
        <v>152</v>
      </c>
      <c r="B663" s="202">
        <v>9</v>
      </c>
      <c r="C663" s="203" t="s">
        <v>538</v>
      </c>
      <c r="D663" s="209" t="s">
        <v>153</v>
      </c>
      <c r="E663" s="210"/>
      <c r="F663" s="210">
        <v>2560694474</v>
      </c>
      <c r="G663" s="210"/>
      <c r="H663" s="209" t="s">
        <v>707</v>
      </c>
      <c r="I663" s="203" t="s">
        <v>520</v>
      </c>
      <c r="J663" s="202">
        <v>1</v>
      </c>
      <c r="K663" s="202">
        <v>1</v>
      </c>
      <c r="L663" s="202">
        <v>12</v>
      </c>
      <c r="M663" s="185">
        <f t="shared" si="156"/>
        <v>1</v>
      </c>
      <c r="N663" s="193" t="s">
        <v>36</v>
      </c>
      <c r="O663" s="194" t="s">
        <v>256</v>
      </c>
      <c r="P663" s="211">
        <f t="shared" si="161"/>
        <v>1</v>
      </c>
      <c r="Q663" s="196">
        <f t="shared" ref="Q663:Q726" si="162">+E663+F663+G663</f>
        <v>2560694474</v>
      </c>
      <c r="R663" s="196">
        <f t="shared" ref="R663:R726" si="163">+F663</f>
        <v>2560694474</v>
      </c>
      <c r="S663" s="201" t="s">
        <v>217</v>
      </c>
      <c r="T663" s="211">
        <f t="shared" si="158"/>
        <v>0</v>
      </c>
      <c r="U663" s="198" t="str">
        <f t="shared" si="157"/>
        <v>SUBDIRECCION DE GESTION CONTRACTUAL</v>
      </c>
      <c r="V663" s="211" t="str">
        <f t="shared" si="159"/>
        <v>CO-DC</v>
      </c>
      <c r="W663" s="211" t="str">
        <f t="shared" si="160"/>
        <v>Distrito Capital de Bogotá</v>
      </c>
      <c r="X663" s="209" t="s">
        <v>512</v>
      </c>
      <c r="Y663" s="202">
        <v>2427400</v>
      </c>
      <c r="Z663" s="212" t="s">
        <v>154</v>
      </c>
      <c r="AA663" s="134"/>
      <c r="AB663" s="134"/>
      <c r="AC663" s="134"/>
      <c r="AD663" s="134"/>
      <c r="AE663" s="134"/>
      <c r="AF663" s="134"/>
      <c r="AG663" s="134"/>
      <c r="AH663" s="134"/>
      <c r="AI663" s="134"/>
      <c r="AJ663" s="134"/>
      <c r="AK663" s="134"/>
      <c r="AL663" s="134"/>
      <c r="AM663" s="134"/>
      <c r="AN663" s="134"/>
      <c r="AO663" s="134"/>
      <c r="AP663" s="134"/>
      <c r="AQ663" s="134"/>
      <c r="AR663" s="134"/>
      <c r="AS663" s="134"/>
      <c r="AT663" s="134"/>
      <c r="AU663" s="132"/>
      <c r="AV663" s="132"/>
      <c r="AW663" s="132"/>
      <c r="AX663" s="132"/>
      <c r="AY663" s="132"/>
      <c r="AZ663" s="132"/>
      <c r="BA663" s="132"/>
      <c r="BB663" s="132"/>
      <c r="BC663" s="132"/>
      <c r="BD663" s="132"/>
      <c r="BE663" s="132"/>
      <c r="BF663" s="132"/>
      <c r="BG663" s="132"/>
      <c r="BH663" s="132"/>
      <c r="BI663" s="132"/>
      <c r="BJ663" s="132"/>
      <c r="BK663" s="132"/>
      <c r="BL663" s="132"/>
      <c r="BM663" s="132"/>
      <c r="BN663" s="132"/>
      <c r="BO663" s="132"/>
      <c r="BP663" s="132"/>
      <c r="BQ663" s="132"/>
      <c r="BR663" s="132"/>
      <c r="BS663" s="132"/>
      <c r="BT663" s="132"/>
      <c r="BU663" s="132"/>
      <c r="BV663" s="132"/>
      <c r="BW663" s="132"/>
      <c r="BX663" s="132"/>
      <c r="BY663" s="132"/>
      <c r="BZ663" s="132"/>
      <c r="CA663" s="132"/>
      <c r="CB663" s="132"/>
      <c r="CC663" s="132"/>
      <c r="CD663" s="132"/>
      <c r="CE663" s="132"/>
      <c r="CF663" s="132"/>
      <c r="CG663" s="140"/>
    </row>
    <row r="664" spans="1:85" s="139" customFormat="1" ht="13.9" customHeight="1" x14ac:dyDescent="0.2">
      <c r="A664" s="208" t="s">
        <v>152</v>
      </c>
      <c r="B664" s="202">
        <v>10</v>
      </c>
      <c r="C664" s="203" t="s">
        <v>538</v>
      </c>
      <c r="D664" s="209" t="s">
        <v>153</v>
      </c>
      <c r="E664" s="210"/>
      <c r="F664" s="210">
        <v>1906418842</v>
      </c>
      <c r="G664" s="210"/>
      <c r="H664" s="209" t="s">
        <v>703</v>
      </c>
      <c r="I664" s="203" t="s">
        <v>521</v>
      </c>
      <c r="J664" s="202">
        <v>1</v>
      </c>
      <c r="K664" s="202">
        <v>1</v>
      </c>
      <c r="L664" s="202">
        <v>12</v>
      </c>
      <c r="M664" s="185">
        <f t="shared" si="156"/>
        <v>1</v>
      </c>
      <c r="N664" s="193" t="s">
        <v>36</v>
      </c>
      <c r="O664" s="194" t="s">
        <v>256</v>
      </c>
      <c r="P664" s="211">
        <f t="shared" si="161"/>
        <v>1</v>
      </c>
      <c r="Q664" s="196">
        <f t="shared" si="162"/>
        <v>1906418842</v>
      </c>
      <c r="R664" s="196">
        <f t="shared" si="163"/>
        <v>1906418842</v>
      </c>
      <c r="S664" s="201" t="s">
        <v>217</v>
      </c>
      <c r="T664" s="211">
        <f t="shared" si="158"/>
        <v>0</v>
      </c>
      <c r="U664" s="198" t="str">
        <f t="shared" si="157"/>
        <v>SUBDIRECCION DE GESTION CONTRACTUAL</v>
      </c>
      <c r="V664" s="211" t="str">
        <f t="shared" si="159"/>
        <v>CO-DC</v>
      </c>
      <c r="W664" s="211" t="str">
        <f t="shared" si="160"/>
        <v>Distrito Capital de Bogotá</v>
      </c>
      <c r="X664" s="209" t="s">
        <v>512</v>
      </c>
      <c r="Y664" s="202">
        <v>2427400</v>
      </c>
      <c r="Z664" s="212" t="s">
        <v>154</v>
      </c>
      <c r="AA664" s="134"/>
      <c r="AB664" s="134"/>
      <c r="AC664" s="134"/>
      <c r="AD664" s="134"/>
      <c r="AE664" s="134"/>
      <c r="AF664" s="134"/>
      <c r="AG664" s="134"/>
      <c r="AH664" s="134"/>
      <c r="AI664" s="134"/>
      <c r="AJ664" s="134"/>
      <c r="AK664" s="134"/>
      <c r="AL664" s="134"/>
      <c r="AM664" s="134"/>
      <c r="AN664" s="134"/>
      <c r="AO664" s="134"/>
      <c r="AP664" s="134"/>
      <c r="AQ664" s="134"/>
      <c r="AR664" s="134"/>
      <c r="AS664" s="134"/>
      <c r="AT664" s="134"/>
      <c r="AU664" s="132"/>
      <c r="AV664" s="132"/>
      <c r="AW664" s="132"/>
      <c r="AX664" s="132"/>
      <c r="AY664" s="132"/>
      <c r="AZ664" s="132"/>
      <c r="BA664" s="132"/>
      <c r="BB664" s="132"/>
      <c r="BC664" s="132"/>
      <c r="BD664" s="132"/>
      <c r="BE664" s="132"/>
      <c r="BF664" s="132"/>
      <c r="BG664" s="132"/>
      <c r="BH664" s="132"/>
      <c r="BI664" s="132"/>
      <c r="BJ664" s="132"/>
      <c r="BK664" s="132"/>
      <c r="BL664" s="132"/>
      <c r="BM664" s="132"/>
      <c r="BN664" s="132"/>
      <c r="BO664" s="132"/>
      <c r="BP664" s="132"/>
      <c r="BQ664" s="132"/>
      <c r="BR664" s="132"/>
      <c r="BS664" s="132"/>
      <c r="BT664" s="132"/>
      <c r="BU664" s="132"/>
      <c r="BV664" s="132"/>
      <c r="BW664" s="132"/>
      <c r="BX664" s="132"/>
      <c r="BY664" s="132"/>
      <c r="BZ664" s="132"/>
      <c r="CA664" s="132"/>
      <c r="CB664" s="132"/>
      <c r="CC664" s="132"/>
      <c r="CD664" s="132"/>
      <c r="CE664" s="132"/>
      <c r="CF664" s="132"/>
      <c r="CG664" s="140"/>
    </row>
    <row r="665" spans="1:85" s="139" customFormat="1" ht="13.9" customHeight="1" x14ac:dyDescent="0.2">
      <c r="A665" s="208" t="s">
        <v>152</v>
      </c>
      <c r="B665" s="202">
        <v>11</v>
      </c>
      <c r="C665" s="203" t="s">
        <v>538</v>
      </c>
      <c r="D665" s="209" t="s">
        <v>153</v>
      </c>
      <c r="E665" s="210"/>
      <c r="F665" s="210">
        <v>3484003648</v>
      </c>
      <c r="G665" s="210"/>
      <c r="H665" s="209" t="s">
        <v>707</v>
      </c>
      <c r="I665" s="203" t="s">
        <v>522</v>
      </c>
      <c r="J665" s="202">
        <v>1</v>
      </c>
      <c r="K665" s="202">
        <v>1</v>
      </c>
      <c r="L665" s="202">
        <v>12</v>
      </c>
      <c r="M665" s="185">
        <f t="shared" si="156"/>
        <v>1</v>
      </c>
      <c r="N665" s="193" t="s">
        <v>36</v>
      </c>
      <c r="O665" s="194" t="s">
        <v>256</v>
      </c>
      <c r="P665" s="211">
        <f t="shared" si="161"/>
        <v>1</v>
      </c>
      <c r="Q665" s="196">
        <f t="shared" si="162"/>
        <v>3484003648</v>
      </c>
      <c r="R665" s="196">
        <f t="shared" si="163"/>
        <v>3484003648</v>
      </c>
      <c r="S665" s="201" t="s">
        <v>217</v>
      </c>
      <c r="T665" s="211">
        <f t="shared" si="158"/>
        <v>0</v>
      </c>
      <c r="U665" s="198" t="str">
        <f t="shared" si="157"/>
        <v>SUBDIRECCION DE GESTION CONTRACTUAL</v>
      </c>
      <c r="V665" s="211" t="str">
        <f t="shared" si="159"/>
        <v>CO-DC</v>
      </c>
      <c r="W665" s="211" t="str">
        <f t="shared" si="160"/>
        <v>Distrito Capital de Bogotá</v>
      </c>
      <c r="X665" s="209" t="s">
        <v>512</v>
      </c>
      <c r="Y665" s="202">
        <v>2427400</v>
      </c>
      <c r="Z665" s="212" t="s">
        <v>154</v>
      </c>
      <c r="AA665" s="134"/>
      <c r="AB665" s="134"/>
      <c r="AC665" s="134"/>
      <c r="AD665" s="134"/>
      <c r="AE665" s="134"/>
      <c r="AF665" s="134"/>
      <c r="AG665" s="134"/>
      <c r="AH665" s="134"/>
      <c r="AI665" s="134"/>
      <c r="AJ665" s="134"/>
      <c r="AK665" s="134"/>
      <c r="AL665" s="134"/>
      <c r="AM665" s="134"/>
      <c r="AN665" s="134"/>
      <c r="AO665" s="134"/>
      <c r="AP665" s="134"/>
      <c r="AQ665" s="134"/>
      <c r="AR665" s="134"/>
      <c r="AS665" s="134"/>
      <c r="AT665" s="134"/>
      <c r="AU665" s="132"/>
      <c r="AV665" s="132"/>
      <c r="AW665" s="132"/>
      <c r="AX665" s="132"/>
      <c r="AY665" s="132"/>
      <c r="AZ665" s="132"/>
      <c r="BA665" s="132"/>
      <c r="BB665" s="132"/>
      <c r="BC665" s="132"/>
      <c r="BD665" s="132"/>
      <c r="BE665" s="132"/>
      <c r="BF665" s="132"/>
      <c r="BG665" s="132"/>
      <c r="BH665" s="132"/>
      <c r="BI665" s="132"/>
      <c r="BJ665" s="132"/>
      <c r="BK665" s="132"/>
      <c r="BL665" s="132"/>
      <c r="BM665" s="132"/>
      <c r="BN665" s="132"/>
      <c r="BO665" s="132"/>
      <c r="BP665" s="132"/>
      <c r="BQ665" s="132"/>
      <c r="BR665" s="132"/>
      <c r="BS665" s="132"/>
      <c r="BT665" s="132"/>
      <c r="BU665" s="132"/>
      <c r="BV665" s="132"/>
      <c r="BW665" s="132"/>
      <c r="BX665" s="132"/>
      <c r="BY665" s="132"/>
      <c r="BZ665" s="132"/>
      <c r="CA665" s="132"/>
      <c r="CB665" s="132"/>
      <c r="CC665" s="132"/>
      <c r="CD665" s="132"/>
      <c r="CE665" s="132"/>
      <c r="CF665" s="132"/>
      <c r="CG665" s="140"/>
    </row>
    <row r="666" spans="1:85" s="139" customFormat="1" ht="13.9" customHeight="1" x14ac:dyDescent="0.2">
      <c r="A666" s="208" t="s">
        <v>152</v>
      </c>
      <c r="B666" s="202">
        <v>12</v>
      </c>
      <c r="C666" s="203" t="s">
        <v>538</v>
      </c>
      <c r="D666" s="209" t="s">
        <v>153</v>
      </c>
      <c r="E666" s="210"/>
      <c r="F666" s="210">
        <v>1749472667</v>
      </c>
      <c r="G666" s="210"/>
      <c r="H666" s="209" t="s">
        <v>703</v>
      </c>
      <c r="I666" s="203" t="s">
        <v>523</v>
      </c>
      <c r="J666" s="202">
        <v>1</v>
      </c>
      <c r="K666" s="202">
        <v>1</v>
      </c>
      <c r="L666" s="202">
        <v>12</v>
      </c>
      <c r="M666" s="185">
        <f t="shared" si="156"/>
        <v>1</v>
      </c>
      <c r="N666" s="193" t="s">
        <v>36</v>
      </c>
      <c r="O666" s="194" t="s">
        <v>256</v>
      </c>
      <c r="P666" s="211">
        <f t="shared" si="161"/>
        <v>1</v>
      </c>
      <c r="Q666" s="196">
        <f t="shared" si="162"/>
        <v>1749472667</v>
      </c>
      <c r="R666" s="196">
        <f t="shared" si="163"/>
        <v>1749472667</v>
      </c>
      <c r="S666" s="201" t="s">
        <v>217</v>
      </c>
      <c r="T666" s="211">
        <f t="shared" si="158"/>
        <v>0</v>
      </c>
      <c r="U666" s="198" t="str">
        <f t="shared" si="157"/>
        <v>SUBDIRECCION DE GESTION CONTRACTUAL</v>
      </c>
      <c r="V666" s="211" t="str">
        <f t="shared" si="159"/>
        <v>CO-DC</v>
      </c>
      <c r="W666" s="211" t="str">
        <f t="shared" si="160"/>
        <v>Distrito Capital de Bogotá</v>
      </c>
      <c r="X666" s="209" t="s">
        <v>512</v>
      </c>
      <c r="Y666" s="202">
        <v>2427400</v>
      </c>
      <c r="Z666" s="212" t="s">
        <v>154</v>
      </c>
      <c r="AA666" s="134"/>
      <c r="AB666" s="134"/>
      <c r="AC666" s="134"/>
      <c r="AD666" s="134"/>
      <c r="AE666" s="134"/>
      <c r="AF666" s="134"/>
      <c r="AG666" s="134"/>
      <c r="AH666" s="134"/>
      <c r="AI666" s="134"/>
      <c r="AJ666" s="134"/>
      <c r="AK666" s="134"/>
      <c r="AL666" s="134"/>
      <c r="AM666" s="134"/>
      <c r="AN666" s="134"/>
      <c r="AO666" s="134"/>
      <c r="AP666" s="134"/>
      <c r="AQ666" s="134"/>
      <c r="AR666" s="134"/>
      <c r="AS666" s="134"/>
      <c r="AT666" s="134"/>
      <c r="AU666" s="132"/>
      <c r="AV666" s="132"/>
      <c r="AW666" s="132"/>
      <c r="AX666" s="132"/>
      <c r="AY666" s="132"/>
      <c r="AZ666" s="132"/>
      <c r="BA666" s="132"/>
      <c r="BB666" s="132"/>
      <c r="BC666" s="132"/>
      <c r="BD666" s="132"/>
      <c r="BE666" s="132"/>
      <c r="BF666" s="132"/>
      <c r="BG666" s="132"/>
      <c r="BH666" s="132"/>
      <c r="BI666" s="132"/>
      <c r="BJ666" s="132"/>
      <c r="BK666" s="132"/>
      <c r="BL666" s="132"/>
      <c r="BM666" s="132"/>
      <c r="BN666" s="132"/>
      <c r="BO666" s="132"/>
      <c r="BP666" s="132"/>
      <c r="BQ666" s="132"/>
      <c r="BR666" s="132"/>
      <c r="BS666" s="132"/>
      <c r="BT666" s="132"/>
      <c r="BU666" s="132"/>
      <c r="BV666" s="132"/>
      <c r="BW666" s="132"/>
      <c r="BX666" s="132"/>
      <c r="BY666" s="132"/>
      <c r="BZ666" s="132"/>
      <c r="CA666" s="132"/>
      <c r="CB666" s="132"/>
      <c r="CC666" s="132"/>
      <c r="CD666" s="132"/>
      <c r="CE666" s="132"/>
      <c r="CF666" s="132"/>
      <c r="CG666" s="140"/>
    </row>
    <row r="667" spans="1:85" s="139" customFormat="1" ht="13.9" customHeight="1" x14ac:dyDescent="0.2">
      <c r="A667" s="208" t="s">
        <v>152</v>
      </c>
      <c r="B667" s="202">
        <v>13</v>
      </c>
      <c r="C667" s="203" t="s">
        <v>538</v>
      </c>
      <c r="D667" s="209" t="s">
        <v>153</v>
      </c>
      <c r="E667" s="210"/>
      <c r="F667" s="210">
        <v>1600069165</v>
      </c>
      <c r="G667" s="210"/>
      <c r="H667" s="209" t="s">
        <v>703</v>
      </c>
      <c r="I667" s="203" t="s">
        <v>524</v>
      </c>
      <c r="J667" s="202">
        <v>1</v>
      </c>
      <c r="K667" s="202">
        <v>1</v>
      </c>
      <c r="L667" s="202">
        <v>12</v>
      </c>
      <c r="M667" s="185">
        <f t="shared" si="156"/>
        <v>1</v>
      </c>
      <c r="N667" s="193" t="s">
        <v>36</v>
      </c>
      <c r="O667" s="194" t="s">
        <v>256</v>
      </c>
      <c r="P667" s="211">
        <f t="shared" si="161"/>
        <v>1</v>
      </c>
      <c r="Q667" s="196">
        <f t="shared" si="162"/>
        <v>1600069165</v>
      </c>
      <c r="R667" s="196">
        <f t="shared" si="163"/>
        <v>1600069165</v>
      </c>
      <c r="S667" s="201" t="s">
        <v>217</v>
      </c>
      <c r="T667" s="211">
        <f t="shared" si="158"/>
        <v>0</v>
      </c>
      <c r="U667" s="198" t="str">
        <f t="shared" si="157"/>
        <v>SUBDIRECCION DE GESTION CONTRACTUAL</v>
      </c>
      <c r="V667" s="211" t="str">
        <f t="shared" si="159"/>
        <v>CO-DC</v>
      </c>
      <c r="W667" s="211" t="str">
        <f t="shared" si="160"/>
        <v>Distrito Capital de Bogotá</v>
      </c>
      <c r="X667" s="209" t="s">
        <v>512</v>
      </c>
      <c r="Y667" s="202">
        <v>2427400</v>
      </c>
      <c r="Z667" s="212" t="s">
        <v>154</v>
      </c>
      <c r="AA667" s="134"/>
      <c r="AB667" s="134"/>
      <c r="AC667" s="134"/>
      <c r="AD667" s="134"/>
      <c r="AE667" s="134"/>
      <c r="AF667" s="134"/>
      <c r="AG667" s="134"/>
      <c r="AH667" s="134"/>
      <c r="AI667" s="134"/>
      <c r="AJ667" s="134"/>
      <c r="AK667" s="134"/>
      <c r="AL667" s="134"/>
      <c r="AM667" s="134"/>
      <c r="AN667" s="134"/>
      <c r="AO667" s="134"/>
      <c r="AP667" s="134"/>
      <c r="AQ667" s="134"/>
      <c r="AR667" s="134"/>
      <c r="AS667" s="134"/>
      <c r="AT667" s="134"/>
      <c r="AU667" s="132"/>
      <c r="AV667" s="132"/>
      <c r="AW667" s="132"/>
      <c r="AX667" s="132"/>
      <c r="AY667" s="132"/>
      <c r="AZ667" s="132"/>
      <c r="BA667" s="132"/>
      <c r="BB667" s="132"/>
      <c r="BC667" s="132"/>
      <c r="BD667" s="132"/>
      <c r="BE667" s="132"/>
      <c r="BF667" s="132"/>
      <c r="BG667" s="132"/>
      <c r="BH667" s="132"/>
      <c r="BI667" s="132"/>
      <c r="BJ667" s="132"/>
      <c r="BK667" s="132"/>
      <c r="BL667" s="132"/>
      <c r="BM667" s="132"/>
      <c r="BN667" s="132"/>
      <c r="BO667" s="132"/>
      <c r="BP667" s="132"/>
      <c r="BQ667" s="132"/>
      <c r="BR667" s="132"/>
      <c r="BS667" s="132"/>
      <c r="BT667" s="132"/>
      <c r="BU667" s="132"/>
      <c r="BV667" s="132"/>
      <c r="BW667" s="132"/>
      <c r="BX667" s="132"/>
      <c r="BY667" s="132"/>
      <c r="BZ667" s="132"/>
      <c r="CA667" s="132"/>
      <c r="CB667" s="132"/>
      <c r="CC667" s="132"/>
      <c r="CD667" s="132"/>
      <c r="CE667" s="132"/>
      <c r="CF667" s="132"/>
      <c r="CG667" s="140"/>
    </row>
    <row r="668" spans="1:85" s="139" customFormat="1" ht="13.9" customHeight="1" x14ac:dyDescent="0.2">
      <c r="A668" s="208" t="s">
        <v>152</v>
      </c>
      <c r="B668" s="202">
        <v>14</v>
      </c>
      <c r="C668" s="203" t="s">
        <v>538</v>
      </c>
      <c r="D668" s="209" t="s">
        <v>153</v>
      </c>
      <c r="E668" s="210"/>
      <c r="F668" s="210">
        <v>1310662954</v>
      </c>
      <c r="G668" s="210"/>
      <c r="H668" s="209" t="s">
        <v>703</v>
      </c>
      <c r="I668" s="203" t="s">
        <v>525</v>
      </c>
      <c r="J668" s="202">
        <v>1</v>
      </c>
      <c r="K668" s="202">
        <v>1</v>
      </c>
      <c r="L668" s="202">
        <v>12</v>
      </c>
      <c r="M668" s="185">
        <f t="shared" si="156"/>
        <v>1</v>
      </c>
      <c r="N668" s="193" t="s">
        <v>36</v>
      </c>
      <c r="O668" s="194" t="s">
        <v>256</v>
      </c>
      <c r="P668" s="211">
        <f t="shared" si="161"/>
        <v>1</v>
      </c>
      <c r="Q668" s="196">
        <f t="shared" si="162"/>
        <v>1310662954</v>
      </c>
      <c r="R668" s="196">
        <f t="shared" si="163"/>
        <v>1310662954</v>
      </c>
      <c r="S668" s="201" t="s">
        <v>217</v>
      </c>
      <c r="T668" s="211">
        <f t="shared" si="158"/>
        <v>0</v>
      </c>
      <c r="U668" s="198" t="str">
        <f t="shared" si="157"/>
        <v>SUBDIRECCION DE GESTION CONTRACTUAL</v>
      </c>
      <c r="V668" s="211" t="str">
        <f t="shared" si="159"/>
        <v>CO-DC</v>
      </c>
      <c r="W668" s="211" t="str">
        <f t="shared" si="160"/>
        <v>Distrito Capital de Bogotá</v>
      </c>
      <c r="X668" s="209" t="s">
        <v>512</v>
      </c>
      <c r="Y668" s="202">
        <v>2427400</v>
      </c>
      <c r="Z668" s="212" t="s">
        <v>154</v>
      </c>
      <c r="AA668" s="134"/>
      <c r="AB668" s="134"/>
      <c r="AC668" s="134"/>
      <c r="AD668" s="134"/>
      <c r="AE668" s="134"/>
      <c r="AF668" s="134"/>
      <c r="AG668" s="134"/>
      <c r="AH668" s="134"/>
      <c r="AI668" s="134"/>
      <c r="AJ668" s="134"/>
      <c r="AK668" s="134"/>
      <c r="AL668" s="134"/>
      <c r="AM668" s="134"/>
      <c r="AN668" s="134"/>
      <c r="AO668" s="134"/>
      <c r="AP668" s="134"/>
      <c r="AQ668" s="134"/>
      <c r="AR668" s="134"/>
      <c r="AS668" s="134"/>
      <c r="AT668" s="134"/>
      <c r="AU668" s="132"/>
      <c r="AV668" s="132"/>
      <c r="AW668" s="132"/>
      <c r="AX668" s="132"/>
      <c r="AY668" s="132"/>
      <c r="AZ668" s="132"/>
      <c r="BA668" s="132"/>
      <c r="BB668" s="132"/>
      <c r="BC668" s="132"/>
      <c r="BD668" s="132"/>
      <c r="BE668" s="132"/>
      <c r="BF668" s="132"/>
      <c r="BG668" s="132"/>
      <c r="BH668" s="132"/>
      <c r="BI668" s="132"/>
      <c r="BJ668" s="132"/>
      <c r="BK668" s="132"/>
      <c r="BL668" s="132"/>
      <c r="BM668" s="132"/>
      <c r="BN668" s="132"/>
      <c r="BO668" s="132"/>
      <c r="BP668" s="132"/>
      <c r="BQ668" s="132"/>
      <c r="BR668" s="132"/>
      <c r="BS668" s="132"/>
      <c r="BT668" s="132"/>
      <c r="BU668" s="132"/>
      <c r="BV668" s="132"/>
      <c r="BW668" s="132"/>
      <c r="BX668" s="132"/>
      <c r="BY668" s="132"/>
      <c r="BZ668" s="132"/>
      <c r="CA668" s="132"/>
      <c r="CB668" s="132"/>
      <c r="CC668" s="132"/>
      <c r="CD668" s="132"/>
      <c r="CE668" s="132"/>
      <c r="CF668" s="132"/>
      <c r="CG668" s="140"/>
    </row>
    <row r="669" spans="1:85" s="139" customFormat="1" ht="13.9" customHeight="1" x14ac:dyDescent="0.2">
      <c r="A669" s="208" t="s">
        <v>152</v>
      </c>
      <c r="B669" s="202">
        <v>15</v>
      </c>
      <c r="C669" s="203" t="s">
        <v>538</v>
      </c>
      <c r="D669" s="209" t="s">
        <v>153</v>
      </c>
      <c r="E669" s="210"/>
      <c r="F669" s="210">
        <v>2553967515</v>
      </c>
      <c r="G669" s="210"/>
      <c r="H669" s="209" t="s">
        <v>703</v>
      </c>
      <c r="I669" s="203" t="s">
        <v>593</v>
      </c>
      <c r="J669" s="202">
        <v>1</v>
      </c>
      <c r="K669" s="202">
        <v>1</v>
      </c>
      <c r="L669" s="202">
        <v>12</v>
      </c>
      <c r="M669" s="185">
        <f t="shared" si="156"/>
        <v>1</v>
      </c>
      <c r="N669" s="193" t="s">
        <v>36</v>
      </c>
      <c r="O669" s="194" t="s">
        <v>256</v>
      </c>
      <c r="P669" s="211">
        <f t="shared" si="161"/>
        <v>1</v>
      </c>
      <c r="Q669" s="196">
        <f t="shared" si="162"/>
        <v>2553967515</v>
      </c>
      <c r="R669" s="196">
        <f t="shared" si="163"/>
        <v>2553967515</v>
      </c>
      <c r="S669" s="201" t="s">
        <v>217</v>
      </c>
      <c r="T669" s="211">
        <f t="shared" si="158"/>
        <v>0</v>
      </c>
      <c r="U669" s="198" t="str">
        <f t="shared" si="157"/>
        <v>SUBDIRECCION DE GESTION CONTRACTUAL</v>
      </c>
      <c r="V669" s="211" t="str">
        <f t="shared" si="159"/>
        <v>CO-DC</v>
      </c>
      <c r="W669" s="211" t="str">
        <f t="shared" si="160"/>
        <v>Distrito Capital de Bogotá</v>
      </c>
      <c r="X669" s="209" t="s">
        <v>512</v>
      </c>
      <c r="Y669" s="202">
        <v>2427400</v>
      </c>
      <c r="Z669" s="212" t="s">
        <v>154</v>
      </c>
      <c r="AA669" s="134"/>
      <c r="AB669" s="134"/>
      <c r="AC669" s="134"/>
      <c r="AD669" s="134"/>
      <c r="AE669" s="134"/>
      <c r="AF669" s="134"/>
      <c r="AG669" s="134"/>
      <c r="AH669" s="134"/>
      <c r="AI669" s="134"/>
      <c r="AJ669" s="134"/>
      <c r="AK669" s="134"/>
      <c r="AL669" s="134"/>
      <c r="AM669" s="134"/>
      <c r="AN669" s="134"/>
      <c r="AO669" s="134"/>
      <c r="AP669" s="134"/>
      <c r="AQ669" s="134"/>
      <c r="AR669" s="134"/>
      <c r="AS669" s="134"/>
      <c r="AT669" s="134"/>
      <c r="AU669" s="132"/>
      <c r="AV669" s="132"/>
      <c r="AW669" s="132"/>
      <c r="AX669" s="132"/>
      <c r="AY669" s="132"/>
      <c r="AZ669" s="132"/>
      <c r="BA669" s="132"/>
      <c r="BB669" s="132"/>
      <c r="BC669" s="132"/>
      <c r="BD669" s="132"/>
      <c r="BE669" s="132"/>
      <c r="BF669" s="132"/>
      <c r="BG669" s="132"/>
      <c r="BH669" s="132"/>
      <c r="BI669" s="132"/>
      <c r="BJ669" s="132"/>
      <c r="BK669" s="132"/>
      <c r="BL669" s="132"/>
      <c r="BM669" s="132"/>
      <c r="BN669" s="132"/>
      <c r="BO669" s="132"/>
      <c r="BP669" s="132"/>
      <c r="BQ669" s="132"/>
      <c r="BR669" s="132"/>
      <c r="BS669" s="132"/>
      <c r="BT669" s="132"/>
      <c r="BU669" s="132"/>
      <c r="BV669" s="132"/>
      <c r="BW669" s="132"/>
      <c r="BX669" s="132"/>
      <c r="BY669" s="132"/>
      <c r="BZ669" s="132"/>
      <c r="CA669" s="132"/>
      <c r="CB669" s="132"/>
      <c r="CC669" s="132"/>
      <c r="CD669" s="132"/>
      <c r="CE669" s="132"/>
      <c r="CF669" s="132"/>
      <c r="CG669" s="140"/>
    </row>
    <row r="670" spans="1:85" s="139" customFormat="1" ht="13.9" customHeight="1" x14ac:dyDescent="0.2">
      <c r="A670" s="208" t="s">
        <v>152</v>
      </c>
      <c r="B670" s="202">
        <v>16</v>
      </c>
      <c r="C670" s="203" t="s">
        <v>538</v>
      </c>
      <c r="D670" s="209" t="s">
        <v>153</v>
      </c>
      <c r="E670" s="210"/>
      <c r="F670" s="210">
        <v>2544687516</v>
      </c>
      <c r="G670" s="210"/>
      <c r="H670" s="209" t="s">
        <v>703</v>
      </c>
      <c r="I670" s="203" t="s">
        <v>594</v>
      </c>
      <c r="J670" s="202">
        <v>1</v>
      </c>
      <c r="K670" s="202">
        <v>1</v>
      </c>
      <c r="L670" s="202">
        <v>12</v>
      </c>
      <c r="M670" s="185">
        <f t="shared" si="156"/>
        <v>1</v>
      </c>
      <c r="N670" s="193" t="s">
        <v>36</v>
      </c>
      <c r="O670" s="194" t="s">
        <v>256</v>
      </c>
      <c r="P670" s="211">
        <f t="shared" si="161"/>
        <v>1</v>
      </c>
      <c r="Q670" s="196">
        <f t="shared" si="162"/>
        <v>2544687516</v>
      </c>
      <c r="R670" s="196">
        <f t="shared" si="163"/>
        <v>2544687516</v>
      </c>
      <c r="S670" s="201" t="s">
        <v>217</v>
      </c>
      <c r="T670" s="211">
        <f t="shared" si="158"/>
        <v>0</v>
      </c>
      <c r="U670" s="198" t="str">
        <f t="shared" si="157"/>
        <v>SUBDIRECCION DE GESTION CONTRACTUAL</v>
      </c>
      <c r="V670" s="211" t="str">
        <f t="shared" si="159"/>
        <v>CO-DC</v>
      </c>
      <c r="W670" s="211" t="str">
        <f t="shared" si="160"/>
        <v>Distrito Capital de Bogotá</v>
      </c>
      <c r="X670" s="209" t="s">
        <v>512</v>
      </c>
      <c r="Y670" s="202">
        <v>2427400</v>
      </c>
      <c r="Z670" s="212" t="s">
        <v>154</v>
      </c>
      <c r="AA670" s="134"/>
      <c r="AB670" s="134"/>
      <c r="AC670" s="134"/>
      <c r="AD670" s="134"/>
      <c r="AE670" s="134"/>
      <c r="AF670" s="134"/>
      <c r="AG670" s="134"/>
      <c r="AH670" s="134"/>
      <c r="AI670" s="134"/>
      <c r="AJ670" s="134"/>
      <c r="AK670" s="134"/>
      <c r="AL670" s="134"/>
      <c r="AM670" s="134"/>
      <c r="AN670" s="134"/>
      <c r="AO670" s="134"/>
      <c r="AP670" s="134"/>
      <c r="AQ670" s="134"/>
      <c r="AR670" s="134"/>
      <c r="AS670" s="134"/>
      <c r="AT670" s="134"/>
      <c r="AU670" s="132"/>
      <c r="AV670" s="132"/>
      <c r="AW670" s="132"/>
      <c r="AX670" s="132"/>
      <c r="AY670" s="132"/>
      <c r="AZ670" s="132"/>
      <c r="BA670" s="132"/>
      <c r="BB670" s="132"/>
      <c r="BC670" s="132"/>
      <c r="BD670" s="132"/>
      <c r="BE670" s="132"/>
      <c r="BF670" s="132"/>
      <c r="BG670" s="132"/>
      <c r="BH670" s="132"/>
      <c r="BI670" s="132"/>
      <c r="BJ670" s="132"/>
      <c r="BK670" s="132"/>
      <c r="BL670" s="132"/>
      <c r="BM670" s="132"/>
      <c r="BN670" s="132"/>
      <c r="BO670" s="132"/>
      <c r="BP670" s="132"/>
      <c r="BQ670" s="132"/>
      <c r="BR670" s="132"/>
      <c r="BS670" s="132"/>
      <c r="BT670" s="132"/>
      <c r="BU670" s="132"/>
      <c r="BV670" s="132"/>
      <c r="BW670" s="132"/>
      <c r="BX670" s="132"/>
      <c r="BY670" s="132"/>
      <c r="BZ670" s="132"/>
      <c r="CA670" s="132"/>
      <c r="CB670" s="132"/>
      <c r="CC670" s="132"/>
      <c r="CD670" s="132"/>
      <c r="CE670" s="132"/>
      <c r="CF670" s="132"/>
      <c r="CG670" s="140"/>
    </row>
    <row r="671" spans="1:85" s="139" customFormat="1" ht="13.9" customHeight="1" x14ac:dyDescent="0.2">
      <c r="A671" s="208" t="s">
        <v>152</v>
      </c>
      <c r="B671" s="202">
        <v>17</v>
      </c>
      <c r="C671" s="203" t="s">
        <v>538</v>
      </c>
      <c r="D671" s="209" t="s">
        <v>153</v>
      </c>
      <c r="E671" s="210"/>
      <c r="F671" s="210">
        <v>1310662954</v>
      </c>
      <c r="G671" s="210"/>
      <c r="H671" s="209" t="s">
        <v>703</v>
      </c>
      <c r="I671" s="203" t="s">
        <v>595</v>
      </c>
      <c r="J671" s="202">
        <v>1</v>
      </c>
      <c r="K671" s="202">
        <v>1</v>
      </c>
      <c r="L671" s="202">
        <v>12</v>
      </c>
      <c r="M671" s="185">
        <f t="shared" ref="M671:M702" si="164">IF(ISBLANK(J671),"",1)</f>
        <v>1</v>
      </c>
      <c r="N671" s="193" t="s">
        <v>36</v>
      </c>
      <c r="O671" s="194" t="s">
        <v>256</v>
      </c>
      <c r="P671" s="211">
        <f t="shared" si="161"/>
        <v>1</v>
      </c>
      <c r="Q671" s="196">
        <f t="shared" si="162"/>
        <v>1310662954</v>
      </c>
      <c r="R671" s="196">
        <f t="shared" si="163"/>
        <v>1310662954</v>
      </c>
      <c r="S671" s="201" t="s">
        <v>217</v>
      </c>
      <c r="T671" s="211">
        <f t="shared" si="158"/>
        <v>0</v>
      </c>
      <c r="U671" s="198" t="str">
        <f t="shared" ref="U671:U702" si="165">IF(ISBLANK(N671),"","SUBDIRECCION DE GESTION CONTRACTUAL")</f>
        <v>SUBDIRECCION DE GESTION CONTRACTUAL</v>
      </c>
      <c r="V671" s="211" t="str">
        <f t="shared" si="159"/>
        <v>CO-DC</v>
      </c>
      <c r="W671" s="211" t="str">
        <f t="shared" si="160"/>
        <v>Distrito Capital de Bogotá</v>
      </c>
      <c r="X671" s="209" t="s">
        <v>512</v>
      </c>
      <c r="Y671" s="202">
        <v>2427400</v>
      </c>
      <c r="Z671" s="212" t="s">
        <v>154</v>
      </c>
      <c r="AA671" s="134"/>
      <c r="AB671" s="134"/>
      <c r="AC671" s="134"/>
      <c r="AD671" s="134"/>
      <c r="AE671" s="134"/>
      <c r="AF671" s="134"/>
      <c r="AG671" s="134"/>
      <c r="AH671" s="134"/>
      <c r="AI671" s="134"/>
      <c r="AJ671" s="134"/>
      <c r="AK671" s="134"/>
      <c r="AL671" s="134"/>
      <c r="AM671" s="134"/>
      <c r="AN671" s="134"/>
      <c r="AO671" s="134"/>
      <c r="AP671" s="134"/>
      <c r="AQ671" s="134"/>
      <c r="AR671" s="134"/>
      <c r="AS671" s="134"/>
      <c r="AT671" s="134"/>
      <c r="AU671" s="132"/>
      <c r="AV671" s="132"/>
      <c r="AW671" s="132"/>
      <c r="AX671" s="132"/>
      <c r="AY671" s="132"/>
      <c r="AZ671" s="132"/>
      <c r="BA671" s="132"/>
      <c r="BB671" s="132"/>
      <c r="BC671" s="132"/>
      <c r="BD671" s="132"/>
      <c r="BE671" s="132"/>
      <c r="BF671" s="132"/>
      <c r="BG671" s="132"/>
      <c r="BH671" s="132"/>
      <c r="BI671" s="132"/>
      <c r="BJ671" s="132"/>
      <c r="BK671" s="132"/>
      <c r="BL671" s="132"/>
      <c r="BM671" s="132"/>
      <c r="BN671" s="132"/>
      <c r="BO671" s="132"/>
      <c r="BP671" s="132"/>
      <c r="BQ671" s="132"/>
      <c r="BR671" s="132"/>
      <c r="BS671" s="132"/>
      <c r="BT671" s="132"/>
      <c r="BU671" s="132"/>
      <c r="BV671" s="132"/>
      <c r="BW671" s="132"/>
      <c r="BX671" s="132"/>
      <c r="BY671" s="132"/>
      <c r="BZ671" s="132"/>
      <c r="CA671" s="132"/>
      <c r="CB671" s="132"/>
      <c r="CC671" s="132"/>
      <c r="CD671" s="132"/>
      <c r="CE671" s="132"/>
      <c r="CF671" s="132"/>
      <c r="CG671" s="140"/>
    </row>
    <row r="672" spans="1:85" s="139" customFormat="1" ht="13.9" customHeight="1" x14ac:dyDescent="0.2">
      <c r="A672" s="208" t="s">
        <v>152</v>
      </c>
      <c r="B672" s="202">
        <v>18</v>
      </c>
      <c r="C672" s="203" t="s">
        <v>538</v>
      </c>
      <c r="D672" s="209" t="s">
        <v>153</v>
      </c>
      <c r="E672" s="210"/>
      <c r="F672" s="210">
        <v>305440000</v>
      </c>
      <c r="G672" s="210"/>
      <c r="H672" s="209" t="s">
        <v>703</v>
      </c>
      <c r="I672" s="203" t="s">
        <v>596</v>
      </c>
      <c r="J672" s="202">
        <v>1</v>
      </c>
      <c r="K672" s="202">
        <v>1</v>
      </c>
      <c r="L672" s="202">
        <v>12</v>
      </c>
      <c r="M672" s="185">
        <f t="shared" si="164"/>
        <v>1</v>
      </c>
      <c r="N672" s="193" t="s">
        <v>36</v>
      </c>
      <c r="O672" s="194" t="s">
        <v>256</v>
      </c>
      <c r="P672" s="211">
        <f t="shared" si="161"/>
        <v>1</v>
      </c>
      <c r="Q672" s="196">
        <f t="shared" si="162"/>
        <v>305440000</v>
      </c>
      <c r="R672" s="196">
        <f t="shared" si="163"/>
        <v>305440000</v>
      </c>
      <c r="S672" s="201" t="s">
        <v>217</v>
      </c>
      <c r="T672" s="211">
        <f t="shared" ref="T672:T703" si="166">IF(ISBLANK(S672),"",IF(VALUE(S672)=0,0,IF(VALUE(S672)=1,3,"")))</f>
        <v>0</v>
      </c>
      <c r="U672" s="198" t="str">
        <f t="shared" si="165"/>
        <v>SUBDIRECCION DE GESTION CONTRACTUAL</v>
      </c>
      <c r="V672" s="211" t="str">
        <f t="shared" si="159"/>
        <v>CO-DC</v>
      </c>
      <c r="W672" s="211" t="str">
        <f t="shared" si="160"/>
        <v>Distrito Capital de Bogotá</v>
      </c>
      <c r="X672" s="209" t="s">
        <v>512</v>
      </c>
      <c r="Y672" s="202">
        <v>2427400</v>
      </c>
      <c r="Z672" s="212" t="s">
        <v>154</v>
      </c>
      <c r="AA672" s="134"/>
      <c r="AB672" s="134"/>
      <c r="AC672" s="134"/>
      <c r="AD672" s="134"/>
      <c r="AE672" s="134"/>
      <c r="AF672" s="134"/>
      <c r="AG672" s="134"/>
      <c r="AH672" s="134"/>
      <c r="AI672" s="134"/>
      <c r="AJ672" s="134"/>
      <c r="AK672" s="134"/>
      <c r="AL672" s="134"/>
      <c r="AM672" s="134"/>
      <c r="AN672" s="134"/>
      <c r="AO672" s="134"/>
      <c r="AP672" s="134"/>
      <c r="AQ672" s="134"/>
      <c r="AR672" s="134"/>
      <c r="AS672" s="134"/>
      <c r="AT672" s="134"/>
      <c r="AU672" s="132"/>
      <c r="AV672" s="132"/>
      <c r="AW672" s="132"/>
      <c r="AX672" s="132"/>
      <c r="AY672" s="132"/>
      <c r="AZ672" s="132"/>
      <c r="BA672" s="132"/>
      <c r="BB672" s="132"/>
      <c r="BC672" s="132"/>
      <c r="BD672" s="132"/>
      <c r="BE672" s="132"/>
      <c r="BF672" s="132"/>
      <c r="BG672" s="132"/>
      <c r="BH672" s="132"/>
      <c r="BI672" s="132"/>
      <c r="BJ672" s="132"/>
      <c r="BK672" s="132"/>
      <c r="BL672" s="132"/>
      <c r="BM672" s="132"/>
      <c r="BN672" s="132"/>
      <c r="BO672" s="132"/>
      <c r="BP672" s="132"/>
      <c r="BQ672" s="132"/>
      <c r="BR672" s="132"/>
      <c r="BS672" s="132"/>
      <c r="BT672" s="132"/>
      <c r="BU672" s="132"/>
      <c r="BV672" s="132"/>
      <c r="BW672" s="132"/>
      <c r="BX672" s="132"/>
      <c r="BY672" s="132"/>
      <c r="BZ672" s="132"/>
      <c r="CA672" s="132"/>
      <c r="CB672" s="132"/>
      <c r="CC672" s="132"/>
      <c r="CD672" s="132"/>
      <c r="CE672" s="132"/>
      <c r="CF672" s="132"/>
      <c r="CG672" s="140"/>
    </row>
    <row r="673" spans="1:85" s="139" customFormat="1" ht="13.9" customHeight="1" x14ac:dyDescent="0.2">
      <c r="A673" s="208" t="s">
        <v>152</v>
      </c>
      <c r="B673" s="202">
        <v>19</v>
      </c>
      <c r="C673" s="203" t="s">
        <v>538</v>
      </c>
      <c r="D673" s="209" t="s">
        <v>153</v>
      </c>
      <c r="E673" s="210"/>
      <c r="F673" s="210">
        <v>1988398580</v>
      </c>
      <c r="G673" s="210"/>
      <c r="H673" s="209" t="s">
        <v>707</v>
      </c>
      <c r="I673" s="203" t="s">
        <v>597</v>
      </c>
      <c r="J673" s="202">
        <v>1</v>
      </c>
      <c r="K673" s="202">
        <v>1</v>
      </c>
      <c r="L673" s="202">
        <v>12</v>
      </c>
      <c r="M673" s="185">
        <f t="shared" si="164"/>
        <v>1</v>
      </c>
      <c r="N673" s="193" t="s">
        <v>36</v>
      </c>
      <c r="O673" s="194" t="s">
        <v>256</v>
      </c>
      <c r="P673" s="211">
        <f t="shared" si="161"/>
        <v>1</v>
      </c>
      <c r="Q673" s="196">
        <f t="shared" si="162"/>
        <v>1988398580</v>
      </c>
      <c r="R673" s="196">
        <f t="shared" si="163"/>
        <v>1988398580</v>
      </c>
      <c r="S673" s="201" t="s">
        <v>217</v>
      </c>
      <c r="T673" s="211">
        <f t="shared" si="166"/>
        <v>0</v>
      </c>
      <c r="U673" s="198" t="str">
        <f t="shared" si="165"/>
        <v>SUBDIRECCION DE GESTION CONTRACTUAL</v>
      </c>
      <c r="V673" s="211" t="str">
        <f t="shared" si="159"/>
        <v>CO-DC</v>
      </c>
      <c r="W673" s="211" t="str">
        <f t="shared" si="160"/>
        <v>Distrito Capital de Bogotá</v>
      </c>
      <c r="X673" s="209" t="s">
        <v>512</v>
      </c>
      <c r="Y673" s="202">
        <v>2427400</v>
      </c>
      <c r="Z673" s="212" t="s">
        <v>154</v>
      </c>
      <c r="AA673" s="134"/>
      <c r="AB673" s="134"/>
      <c r="AC673" s="134"/>
      <c r="AD673" s="134"/>
      <c r="AE673" s="134"/>
      <c r="AF673" s="134"/>
      <c r="AG673" s="134"/>
      <c r="AH673" s="134"/>
      <c r="AI673" s="134"/>
      <c r="AJ673" s="134"/>
      <c r="AK673" s="134"/>
      <c r="AL673" s="134"/>
      <c r="AM673" s="134"/>
      <c r="AN673" s="134"/>
      <c r="AO673" s="134"/>
      <c r="AP673" s="134"/>
      <c r="AQ673" s="134"/>
      <c r="AR673" s="134"/>
      <c r="AS673" s="134"/>
      <c r="AT673" s="134"/>
      <c r="AU673" s="132"/>
      <c r="AV673" s="132"/>
      <c r="AW673" s="132"/>
      <c r="AX673" s="132"/>
      <c r="AY673" s="132"/>
      <c r="AZ673" s="132"/>
      <c r="BA673" s="132"/>
      <c r="BB673" s="132"/>
      <c r="BC673" s="132"/>
      <c r="BD673" s="132"/>
      <c r="BE673" s="132"/>
      <c r="BF673" s="132"/>
      <c r="BG673" s="132"/>
      <c r="BH673" s="132"/>
      <c r="BI673" s="132"/>
      <c r="BJ673" s="132"/>
      <c r="BK673" s="132"/>
      <c r="BL673" s="132"/>
      <c r="BM673" s="132"/>
      <c r="BN673" s="132"/>
      <c r="BO673" s="132"/>
      <c r="BP673" s="132"/>
      <c r="BQ673" s="132"/>
      <c r="BR673" s="132"/>
      <c r="BS673" s="132"/>
      <c r="BT673" s="132"/>
      <c r="BU673" s="132"/>
      <c r="BV673" s="132"/>
      <c r="BW673" s="132"/>
      <c r="BX673" s="132"/>
      <c r="BY673" s="132"/>
      <c r="BZ673" s="132"/>
      <c r="CA673" s="132"/>
      <c r="CB673" s="132"/>
      <c r="CC673" s="132"/>
      <c r="CD673" s="132"/>
      <c r="CE673" s="132"/>
      <c r="CF673" s="132"/>
      <c r="CG673" s="140"/>
    </row>
    <row r="674" spans="1:85" s="139" customFormat="1" ht="13.9" customHeight="1" x14ac:dyDescent="0.2">
      <c r="A674" s="208" t="s">
        <v>152</v>
      </c>
      <c r="B674" s="202">
        <v>20</v>
      </c>
      <c r="C674" s="203" t="s">
        <v>538</v>
      </c>
      <c r="D674" s="209" t="s">
        <v>153</v>
      </c>
      <c r="E674" s="210"/>
      <c r="F674" s="210">
        <v>397679715</v>
      </c>
      <c r="G674" s="210"/>
      <c r="H674" s="209" t="s">
        <v>707</v>
      </c>
      <c r="I674" s="203" t="s">
        <v>597</v>
      </c>
      <c r="J674" s="202">
        <v>1</v>
      </c>
      <c r="K674" s="202">
        <v>1</v>
      </c>
      <c r="L674" s="202">
        <v>12</v>
      </c>
      <c r="M674" s="185">
        <f t="shared" si="164"/>
        <v>1</v>
      </c>
      <c r="N674" s="193" t="s">
        <v>36</v>
      </c>
      <c r="O674" s="194" t="s">
        <v>256</v>
      </c>
      <c r="P674" s="211">
        <f t="shared" si="161"/>
        <v>1</v>
      </c>
      <c r="Q674" s="196">
        <f t="shared" si="162"/>
        <v>397679715</v>
      </c>
      <c r="R674" s="196">
        <f t="shared" si="163"/>
        <v>397679715</v>
      </c>
      <c r="S674" s="201" t="s">
        <v>217</v>
      </c>
      <c r="T674" s="211">
        <f t="shared" si="166"/>
        <v>0</v>
      </c>
      <c r="U674" s="198" t="str">
        <f t="shared" si="165"/>
        <v>SUBDIRECCION DE GESTION CONTRACTUAL</v>
      </c>
      <c r="V674" s="211" t="str">
        <f t="shared" si="159"/>
        <v>CO-DC</v>
      </c>
      <c r="W674" s="211" t="str">
        <f t="shared" si="160"/>
        <v>Distrito Capital de Bogotá</v>
      </c>
      <c r="X674" s="209" t="s">
        <v>512</v>
      </c>
      <c r="Y674" s="202">
        <v>2427400</v>
      </c>
      <c r="Z674" s="212" t="s">
        <v>154</v>
      </c>
      <c r="AA674" s="134"/>
      <c r="AB674" s="134"/>
      <c r="AC674" s="134"/>
      <c r="AD674" s="134"/>
      <c r="AE674" s="134"/>
      <c r="AF674" s="134"/>
      <c r="AG674" s="134"/>
      <c r="AH674" s="134"/>
      <c r="AI674" s="134"/>
      <c r="AJ674" s="134"/>
      <c r="AK674" s="134"/>
      <c r="AL674" s="134"/>
      <c r="AM674" s="134"/>
      <c r="AN674" s="134"/>
      <c r="AO674" s="134"/>
      <c r="AP674" s="134"/>
      <c r="AQ674" s="134"/>
      <c r="AR674" s="134"/>
      <c r="AS674" s="134"/>
      <c r="AT674" s="134"/>
      <c r="AU674" s="132"/>
      <c r="AV674" s="132"/>
      <c r="AW674" s="132"/>
      <c r="AX674" s="132"/>
      <c r="AY674" s="132"/>
      <c r="AZ674" s="132"/>
      <c r="BA674" s="132"/>
      <c r="BB674" s="132"/>
      <c r="BC674" s="132"/>
      <c r="BD674" s="132"/>
      <c r="BE674" s="132"/>
      <c r="BF674" s="132"/>
      <c r="BG674" s="132"/>
      <c r="BH674" s="132"/>
      <c r="BI674" s="132"/>
      <c r="BJ674" s="132"/>
      <c r="BK674" s="132"/>
      <c r="BL674" s="132"/>
      <c r="BM674" s="132"/>
      <c r="BN674" s="132"/>
      <c r="BO674" s="132"/>
      <c r="BP674" s="132"/>
      <c r="BQ674" s="132"/>
      <c r="BR674" s="132"/>
      <c r="BS674" s="132"/>
      <c r="BT674" s="132"/>
      <c r="BU674" s="132"/>
      <c r="BV674" s="132"/>
      <c r="BW674" s="132"/>
      <c r="BX674" s="132"/>
      <c r="BY674" s="132"/>
      <c r="BZ674" s="132"/>
      <c r="CA674" s="132"/>
      <c r="CB674" s="132"/>
      <c r="CC674" s="132"/>
      <c r="CD674" s="132"/>
      <c r="CE674" s="132"/>
      <c r="CF674" s="132"/>
      <c r="CG674" s="140"/>
    </row>
    <row r="675" spans="1:85" s="139" customFormat="1" ht="13.9" customHeight="1" x14ac:dyDescent="0.2">
      <c r="A675" s="208" t="s">
        <v>152</v>
      </c>
      <c r="B675" s="202">
        <v>21</v>
      </c>
      <c r="C675" s="203" t="s">
        <v>538</v>
      </c>
      <c r="D675" s="209" t="s">
        <v>153</v>
      </c>
      <c r="E675" s="210"/>
      <c r="F675" s="210">
        <v>250000000</v>
      </c>
      <c r="G675" s="210"/>
      <c r="H675" s="209" t="s">
        <v>703</v>
      </c>
      <c r="I675" s="203" t="s">
        <v>599</v>
      </c>
      <c r="J675" s="202">
        <v>1</v>
      </c>
      <c r="K675" s="202">
        <v>1</v>
      </c>
      <c r="L675" s="202">
        <v>12</v>
      </c>
      <c r="M675" s="185">
        <f t="shared" si="164"/>
        <v>1</v>
      </c>
      <c r="N675" s="193" t="s">
        <v>36</v>
      </c>
      <c r="O675" s="194" t="s">
        <v>256</v>
      </c>
      <c r="P675" s="211">
        <f t="shared" si="161"/>
        <v>1</v>
      </c>
      <c r="Q675" s="196">
        <f t="shared" si="162"/>
        <v>250000000</v>
      </c>
      <c r="R675" s="196">
        <f t="shared" si="163"/>
        <v>250000000</v>
      </c>
      <c r="S675" s="201" t="s">
        <v>217</v>
      </c>
      <c r="T675" s="211">
        <f t="shared" si="166"/>
        <v>0</v>
      </c>
      <c r="U675" s="198" t="str">
        <f t="shared" si="165"/>
        <v>SUBDIRECCION DE GESTION CONTRACTUAL</v>
      </c>
      <c r="V675" s="211" t="str">
        <f t="shared" si="159"/>
        <v>CO-DC</v>
      </c>
      <c r="W675" s="211" t="str">
        <f t="shared" si="160"/>
        <v>Distrito Capital de Bogotá</v>
      </c>
      <c r="X675" s="209" t="s">
        <v>512</v>
      </c>
      <c r="Y675" s="202">
        <v>2427400</v>
      </c>
      <c r="Z675" s="212" t="s">
        <v>154</v>
      </c>
      <c r="AA675" s="134"/>
      <c r="AB675" s="134"/>
      <c r="AC675" s="134"/>
      <c r="AD675" s="134"/>
      <c r="AE675" s="134"/>
      <c r="AF675" s="134"/>
      <c r="AG675" s="134"/>
      <c r="AH675" s="134"/>
      <c r="AI675" s="134"/>
      <c r="AJ675" s="134"/>
      <c r="AK675" s="134"/>
      <c r="AL675" s="134"/>
      <c r="AM675" s="134"/>
      <c r="AN675" s="134"/>
      <c r="AO675" s="134"/>
      <c r="AP675" s="134"/>
      <c r="AQ675" s="134"/>
      <c r="AR675" s="134"/>
      <c r="AS675" s="134"/>
      <c r="AT675" s="134"/>
      <c r="AU675" s="132"/>
      <c r="AV675" s="132"/>
      <c r="AW675" s="132"/>
      <c r="AX675" s="132"/>
      <c r="AY675" s="132"/>
      <c r="AZ675" s="132"/>
      <c r="BA675" s="132"/>
      <c r="BB675" s="132"/>
      <c r="BC675" s="132"/>
      <c r="BD675" s="132"/>
      <c r="BE675" s="132"/>
      <c r="BF675" s="132"/>
      <c r="BG675" s="132"/>
      <c r="BH675" s="132"/>
      <c r="BI675" s="132"/>
      <c r="BJ675" s="132"/>
      <c r="BK675" s="132"/>
      <c r="BL675" s="132"/>
      <c r="BM675" s="132"/>
      <c r="BN675" s="132"/>
      <c r="BO675" s="132"/>
      <c r="BP675" s="132"/>
      <c r="BQ675" s="132"/>
      <c r="BR675" s="132"/>
      <c r="BS675" s="132"/>
      <c r="BT675" s="132"/>
      <c r="BU675" s="132"/>
      <c r="BV675" s="132"/>
      <c r="BW675" s="132"/>
      <c r="BX675" s="132"/>
      <c r="BY675" s="132"/>
      <c r="BZ675" s="132"/>
      <c r="CA675" s="132"/>
      <c r="CB675" s="132"/>
      <c r="CC675" s="132"/>
      <c r="CD675" s="132"/>
      <c r="CE675" s="132"/>
      <c r="CF675" s="132"/>
      <c r="CG675" s="140"/>
    </row>
    <row r="676" spans="1:85" s="139" customFormat="1" ht="13.9" customHeight="1" x14ac:dyDescent="0.2">
      <c r="A676" s="208" t="s">
        <v>152</v>
      </c>
      <c r="B676" s="202">
        <v>22</v>
      </c>
      <c r="C676" s="203" t="s">
        <v>538</v>
      </c>
      <c r="D676" s="209" t="s">
        <v>153</v>
      </c>
      <c r="E676" s="210"/>
      <c r="F676" s="210">
        <v>250000000</v>
      </c>
      <c r="G676" s="210"/>
      <c r="H676" s="209" t="s">
        <v>703</v>
      </c>
      <c r="I676" s="203" t="s">
        <v>598</v>
      </c>
      <c r="J676" s="202">
        <v>1</v>
      </c>
      <c r="K676" s="202">
        <v>1</v>
      </c>
      <c r="L676" s="202">
        <v>12</v>
      </c>
      <c r="M676" s="185">
        <f t="shared" si="164"/>
        <v>1</v>
      </c>
      <c r="N676" s="193" t="s">
        <v>36</v>
      </c>
      <c r="O676" s="194" t="s">
        <v>256</v>
      </c>
      <c r="P676" s="211">
        <f t="shared" si="161"/>
        <v>1</v>
      </c>
      <c r="Q676" s="196">
        <f t="shared" si="162"/>
        <v>250000000</v>
      </c>
      <c r="R676" s="196">
        <f t="shared" si="163"/>
        <v>250000000</v>
      </c>
      <c r="S676" s="201" t="s">
        <v>217</v>
      </c>
      <c r="T676" s="211">
        <f t="shared" si="166"/>
        <v>0</v>
      </c>
      <c r="U676" s="198" t="str">
        <f t="shared" si="165"/>
        <v>SUBDIRECCION DE GESTION CONTRACTUAL</v>
      </c>
      <c r="V676" s="211" t="str">
        <f t="shared" si="159"/>
        <v>CO-DC</v>
      </c>
      <c r="W676" s="211" t="str">
        <f t="shared" si="160"/>
        <v>Distrito Capital de Bogotá</v>
      </c>
      <c r="X676" s="209" t="s">
        <v>512</v>
      </c>
      <c r="Y676" s="202">
        <v>2427400</v>
      </c>
      <c r="Z676" s="212" t="s">
        <v>154</v>
      </c>
      <c r="AA676" s="134"/>
      <c r="AB676" s="134"/>
      <c r="AC676" s="134"/>
      <c r="AD676" s="134"/>
      <c r="AE676" s="134"/>
      <c r="AF676" s="134"/>
      <c r="AG676" s="134"/>
      <c r="AH676" s="134"/>
      <c r="AI676" s="134"/>
      <c r="AJ676" s="134"/>
      <c r="AK676" s="134"/>
      <c r="AL676" s="134"/>
      <c r="AM676" s="134"/>
      <c r="AN676" s="134"/>
      <c r="AO676" s="134"/>
      <c r="AP676" s="134"/>
      <c r="AQ676" s="134"/>
      <c r="AR676" s="134"/>
      <c r="AS676" s="134"/>
      <c r="AT676" s="134"/>
      <c r="AU676" s="132"/>
      <c r="AV676" s="132"/>
      <c r="AW676" s="132"/>
      <c r="AX676" s="132"/>
      <c r="AY676" s="132"/>
      <c r="AZ676" s="132"/>
      <c r="BA676" s="132"/>
      <c r="BB676" s="132"/>
      <c r="BC676" s="132"/>
      <c r="BD676" s="132"/>
      <c r="BE676" s="132"/>
      <c r="BF676" s="132"/>
      <c r="BG676" s="132"/>
      <c r="BH676" s="132"/>
      <c r="BI676" s="132"/>
      <c r="BJ676" s="132"/>
      <c r="BK676" s="132"/>
      <c r="BL676" s="132"/>
      <c r="BM676" s="132"/>
      <c r="BN676" s="132"/>
      <c r="BO676" s="132"/>
      <c r="BP676" s="132"/>
      <c r="BQ676" s="132"/>
      <c r="BR676" s="132"/>
      <c r="BS676" s="132"/>
      <c r="BT676" s="132"/>
      <c r="BU676" s="132"/>
      <c r="BV676" s="132"/>
      <c r="BW676" s="132"/>
      <c r="BX676" s="132"/>
      <c r="BY676" s="132"/>
      <c r="BZ676" s="132"/>
      <c r="CA676" s="132"/>
      <c r="CB676" s="132"/>
      <c r="CC676" s="132"/>
      <c r="CD676" s="132"/>
      <c r="CE676" s="132"/>
      <c r="CF676" s="132"/>
      <c r="CG676" s="140"/>
    </row>
    <row r="677" spans="1:85" s="139" customFormat="1" ht="13.9" customHeight="1" x14ac:dyDescent="0.2">
      <c r="A677" s="208" t="s">
        <v>152</v>
      </c>
      <c r="B677" s="202">
        <v>23</v>
      </c>
      <c r="C677" s="203" t="s">
        <v>538</v>
      </c>
      <c r="D677" s="209" t="s">
        <v>153</v>
      </c>
      <c r="E677" s="210"/>
      <c r="F677" s="210">
        <v>196577560</v>
      </c>
      <c r="G677" s="210"/>
      <c r="H677" s="209" t="s">
        <v>703</v>
      </c>
      <c r="I677" s="203" t="s">
        <v>600</v>
      </c>
      <c r="J677" s="202">
        <v>1</v>
      </c>
      <c r="K677" s="202">
        <v>1</v>
      </c>
      <c r="L677" s="202">
        <v>12</v>
      </c>
      <c r="M677" s="185">
        <f t="shared" si="164"/>
        <v>1</v>
      </c>
      <c r="N677" s="193" t="s">
        <v>36</v>
      </c>
      <c r="O677" s="194" t="s">
        <v>256</v>
      </c>
      <c r="P677" s="211">
        <f t="shared" si="161"/>
        <v>1</v>
      </c>
      <c r="Q677" s="196">
        <f t="shared" si="162"/>
        <v>196577560</v>
      </c>
      <c r="R677" s="196">
        <f t="shared" si="163"/>
        <v>196577560</v>
      </c>
      <c r="S677" s="201" t="s">
        <v>217</v>
      </c>
      <c r="T677" s="211">
        <f t="shared" si="166"/>
        <v>0</v>
      </c>
      <c r="U677" s="198" t="str">
        <f t="shared" si="165"/>
        <v>SUBDIRECCION DE GESTION CONTRACTUAL</v>
      </c>
      <c r="V677" s="211" t="str">
        <f t="shared" si="159"/>
        <v>CO-DC</v>
      </c>
      <c r="W677" s="211" t="str">
        <f t="shared" si="160"/>
        <v>Distrito Capital de Bogotá</v>
      </c>
      <c r="X677" s="209" t="s">
        <v>512</v>
      </c>
      <c r="Y677" s="202">
        <v>2427400</v>
      </c>
      <c r="Z677" s="212" t="s">
        <v>154</v>
      </c>
      <c r="AA677" s="134"/>
      <c r="AB677" s="134"/>
      <c r="AC677" s="134"/>
      <c r="AD677" s="134"/>
      <c r="AE677" s="134"/>
      <c r="AF677" s="134"/>
      <c r="AG677" s="134"/>
      <c r="AH677" s="134"/>
      <c r="AI677" s="134"/>
      <c r="AJ677" s="134"/>
      <c r="AK677" s="134"/>
      <c r="AL677" s="134"/>
      <c r="AM677" s="134"/>
      <c r="AN677" s="134"/>
      <c r="AO677" s="134"/>
      <c r="AP677" s="134"/>
      <c r="AQ677" s="134"/>
      <c r="AR677" s="134"/>
      <c r="AS677" s="134"/>
      <c r="AT677" s="134"/>
      <c r="AU677" s="132"/>
      <c r="AV677" s="132"/>
      <c r="AW677" s="132"/>
      <c r="AX677" s="132"/>
      <c r="AY677" s="132"/>
      <c r="AZ677" s="132"/>
      <c r="BA677" s="132"/>
      <c r="BB677" s="132"/>
      <c r="BC677" s="132"/>
      <c r="BD677" s="132"/>
      <c r="BE677" s="132"/>
      <c r="BF677" s="132"/>
      <c r="BG677" s="132"/>
      <c r="BH677" s="132"/>
      <c r="BI677" s="132"/>
      <c r="BJ677" s="132"/>
      <c r="BK677" s="132"/>
      <c r="BL677" s="132"/>
      <c r="BM677" s="132"/>
      <c r="BN677" s="132"/>
      <c r="BO677" s="132"/>
      <c r="BP677" s="132"/>
      <c r="BQ677" s="132"/>
      <c r="BR677" s="132"/>
      <c r="BS677" s="132"/>
      <c r="BT677" s="132"/>
      <c r="BU677" s="132"/>
      <c r="BV677" s="132"/>
      <c r="BW677" s="132"/>
      <c r="BX677" s="132"/>
      <c r="BY677" s="132"/>
      <c r="BZ677" s="132"/>
      <c r="CA677" s="132"/>
      <c r="CB677" s="132"/>
      <c r="CC677" s="132"/>
      <c r="CD677" s="132"/>
      <c r="CE677" s="132"/>
      <c r="CF677" s="132"/>
      <c r="CG677" s="140"/>
    </row>
    <row r="678" spans="1:85" s="139" customFormat="1" ht="13.9" customHeight="1" x14ac:dyDescent="0.2">
      <c r="A678" s="208" t="s">
        <v>152</v>
      </c>
      <c r="B678" s="202">
        <v>24</v>
      </c>
      <c r="C678" s="203" t="s">
        <v>538</v>
      </c>
      <c r="D678" s="209" t="s">
        <v>153</v>
      </c>
      <c r="E678" s="210"/>
      <c r="F678" s="210">
        <v>205000000</v>
      </c>
      <c r="G678" s="210"/>
      <c r="H678" s="209" t="s">
        <v>703</v>
      </c>
      <c r="I678" s="203" t="s">
        <v>601</v>
      </c>
      <c r="J678" s="202">
        <v>1</v>
      </c>
      <c r="K678" s="202">
        <v>1</v>
      </c>
      <c r="L678" s="202">
        <v>12</v>
      </c>
      <c r="M678" s="185">
        <f t="shared" si="164"/>
        <v>1</v>
      </c>
      <c r="N678" s="193" t="s">
        <v>36</v>
      </c>
      <c r="O678" s="194" t="s">
        <v>256</v>
      </c>
      <c r="P678" s="211">
        <f t="shared" si="161"/>
        <v>1</v>
      </c>
      <c r="Q678" s="196">
        <f t="shared" si="162"/>
        <v>205000000</v>
      </c>
      <c r="R678" s="196">
        <f t="shared" si="163"/>
        <v>205000000</v>
      </c>
      <c r="S678" s="201" t="s">
        <v>217</v>
      </c>
      <c r="T678" s="211">
        <f t="shared" si="166"/>
        <v>0</v>
      </c>
      <c r="U678" s="198" t="str">
        <f t="shared" si="165"/>
        <v>SUBDIRECCION DE GESTION CONTRACTUAL</v>
      </c>
      <c r="V678" s="211" t="str">
        <f t="shared" si="159"/>
        <v>CO-DC</v>
      </c>
      <c r="W678" s="211" t="str">
        <f t="shared" si="160"/>
        <v>Distrito Capital de Bogotá</v>
      </c>
      <c r="X678" s="209" t="s">
        <v>512</v>
      </c>
      <c r="Y678" s="202">
        <v>2427400</v>
      </c>
      <c r="Z678" s="212" t="s">
        <v>154</v>
      </c>
      <c r="AA678" s="134"/>
      <c r="AB678" s="134"/>
      <c r="AC678" s="134"/>
      <c r="AD678" s="134"/>
      <c r="AE678" s="134"/>
      <c r="AF678" s="134"/>
      <c r="AG678" s="134"/>
      <c r="AH678" s="134"/>
      <c r="AI678" s="134"/>
      <c r="AJ678" s="134"/>
      <c r="AK678" s="134"/>
      <c r="AL678" s="134"/>
      <c r="AM678" s="134"/>
      <c r="AN678" s="134"/>
      <c r="AO678" s="134"/>
      <c r="AP678" s="134"/>
      <c r="AQ678" s="134"/>
      <c r="AR678" s="134"/>
      <c r="AS678" s="134"/>
      <c r="AT678" s="134"/>
      <c r="AU678" s="132"/>
      <c r="AV678" s="132"/>
      <c r="AW678" s="132"/>
      <c r="AX678" s="132"/>
      <c r="AY678" s="132"/>
      <c r="AZ678" s="132"/>
      <c r="BA678" s="132"/>
      <c r="BB678" s="132"/>
      <c r="BC678" s="132"/>
      <c r="BD678" s="132"/>
      <c r="BE678" s="132"/>
      <c r="BF678" s="132"/>
      <c r="BG678" s="132"/>
      <c r="BH678" s="132"/>
      <c r="BI678" s="132"/>
      <c r="BJ678" s="132"/>
      <c r="BK678" s="132"/>
      <c r="BL678" s="132"/>
      <c r="BM678" s="132"/>
      <c r="BN678" s="132"/>
      <c r="BO678" s="132"/>
      <c r="BP678" s="132"/>
      <c r="BQ678" s="132"/>
      <c r="BR678" s="132"/>
      <c r="BS678" s="132"/>
      <c r="BT678" s="132"/>
      <c r="BU678" s="132"/>
      <c r="BV678" s="132"/>
      <c r="BW678" s="132"/>
      <c r="BX678" s="132"/>
      <c r="BY678" s="132"/>
      <c r="BZ678" s="132"/>
      <c r="CA678" s="132"/>
      <c r="CB678" s="132"/>
      <c r="CC678" s="132"/>
      <c r="CD678" s="132"/>
      <c r="CE678" s="132"/>
      <c r="CF678" s="132"/>
      <c r="CG678" s="140"/>
    </row>
    <row r="679" spans="1:85" s="139" customFormat="1" ht="13.9" customHeight="1" x14ac:dyDescent="0.2">
      <c r="A679" s="208" t="s">
        <v>152</v>
      </c>
      <c r="B679" s="202">
        <v>25</v>
      </c>
      <c r="C679" s="203" t="s">
        <v>538</v>
      </c>
      <c r="D679" s="209" t="s">
        <v>153</v>
      </c>
      <c r="E679" s="210"/>
      <c r="F679" s="210">
        <v>205000000</v>
      </c>
      <c r="G679" s="210"/>
      <c r="H679" s="209" t="s">
        <v>703</v>
      </c>
      <c r="I679" s="203" t="s">
        <v>602</v>
      </c>
      <c r="J679" s="202">
        <v>1</v>
      </c>
      <c r="K679" s="202">
        <v>1</v>
      </c>
      <c r="L679" s="202">
        <v>12</v>
      </c>
      <c r="M679" s="185">
        <f t="shared" si="164"/>
        <v>1</v>
      </c>
      <c r="N679" s="193" t="s">
        <v>36</v>
      </c>
      <c r="O679" s="194" t="s">
        <v>256</v>
      </c>
      <c r="P679" s="211">
        <f t="shared" si="161"/>
        <v>1</v>
      </c>
      <c r="Q679" s="196">
        <f t="shared" si="162"/>
        <v>205000000</v>
      </c>
      <c r="R679" s="196">
        <f t="shared" si="163"/>
        <v>205000000</v>
      </c>
      <c r="S679" s="201" t="s">
        <v>217</v>
      </c>
      <c r="T679" s="211">
        <f t="shared" si="166"/>
        <v>0</v>
      </c>
      <c r="U679" s="198" t="str">
        <f t="shared" si="165"/>
        <v>SUBDIRECCION DE GESTION CONTRACTUAL</v>
      </c>
      <c r="V679" s="211" t="str">
        <f t="shared" si="159"/>
        <v>CO-DC</v>
      </c>
      <c r="W679" s="211" t="str">
        <f t="shared" si="160"/>
        <v>Distrito Capital de Bogotá</v>
      </c>
      <c r="X679" s="209" t="s">
        <v>512</v>
      </c>
      <c r="Y679" s="202">
        <v>2427400</v>
      </c>
      <c r="Z679" s="212" t="s">
        <v>154</v>
      </c>
      <c r="AA679" s="134"/>
      <c r="AB679" s="134"/>
      <c r="AC679" s="134"/>
      <c r="AD679" s="134"/>
      <c r="AE679" s="134"/>
      <c r="AF679" s="134"/>
      <c r="AG679" s="134"/>
      <c r="AH679" s="134"/>
      <c r="AI679" s="134"/>
      <c r="AJ679" s="134"/>
      <c r="AK679" s="134"/>
      <c r="AL679" s="134"/>
      <c r="AM679" s="134"/>
      <c r="AN679" s="134"/>
      <c r="AO679" s="134"/>
      <c r="AP679" s="134"/>
      <c r="AQ679" s="134"/>
      <c r="AR679" s="134"/>
      <c r="AS679" s="134"/>
      <c r="AT679" s="134"/>
      <c r="AU679" s="132"/>
      <c r="AV679" s="132"/>
      <c r="AW679" s="132"/>
      <c r="AX679" s="132"/>
      <c r="AY679" s="132"/>
      <c r="AZ679" s="132"/>
      <c r="BA679" s="132"/>
      <c r="BB679" s="132"/>
      <c r="BC679" s="132"/>
      <c r="BD679" s="132"/>
      <c r="BE679" s="132"/>
      <c r="BF679" s="132"/>
      <c r="BG679" s="132"/>
      <c r="BH679" s="132"/>
      <c r="BI679" s="132"/>
      <c r="BJ679" s="132"/>
      <c r="BK679" s="132"/>
      <c r="BL679" s="132"/>
      <c r="BM679" s="132"/>
      <c r="BN679" s="132"/>
      <c r="BO679" s="132"/>
      <c r="BP679" s="132"/>
      <c r="BQ679" s="132"/>
      <c r="BR679" s="132"/>
      <c r="BS679" s="132"/>
      <c r="BT679" s="132"/>
      <c r="BU679" s="132"/>
      <c r="BV679" s="132"/>
      <c r="BW679" s="132"/>
      <c r="BX679" s="132"/>
      <c r="BY679" s="132"/>
      <c r="BZ679" s="132"/>
      <c r="CA679" s="132"/>
      <c r="CB679" s="132"/>
      <c r="CC679" s="132"/>
      <c r="CD679" s="132"/>
      <c r="CE679" s="132"/>
      <c r="CF679" s="132"/>
      <c r="CG679" s="140"/>
    </row>
    <row r="680" spans="1:85" s="139" customFormat="1" ht="13.9" customHeight="1" x14ac:dyDescent="0.2">
      <c r="A680" s="208" t="s">
        <v>152</v>
      </c>
      <c r="B680" s="202">
        <v>26</v>
      </c>
      <c r="C680" s="203" t="s">
        <v>538</v>
      </c>
      <c r="D680" s="209" t="s">
        <v>153</v>
      </c>
      <c r="E680" s="210"/>
      <c r="F680" s="210">
        <v>250000000</v>
      </c>
      <c r="G680" s="210"/>
      <c r="H680" s="209" t="s">
        <v>703</v>
      </c>
      <c r="I680" s="203" t="s">
        <v>603</v>
      </c>
      <c r="J680" s="202">
        <v>1</v>
      </c>
      <c r="K680" s="202">
        <v>1</v>
      </c>
      <c r="L680" s="202">
        <v>12</v>
      </c>
      <c r="M680" s="185">
        <f t="shared" si="164"/>
        <v>1</v>
      </c>
      <c r="N680" s="193" t="s">
        <v>36</v>
      </c>
      <c r="O680" s="194" t="s">
        <v>256</v>
      </c>
      <c r="P680" s="211">
        <f t="shared" si="161"/>
        <v>1</v>
      </c>
      <c r="Q680" s="196">
        <f t="shared" si="162"/>
        <v>250000000</v>
      </c>
      <c r="R680" s="196">
        <f t="shared" si="163"/>
        <v>250000000</v>
      </c>
      <c r="S680" s="201" t="s">
        <v>217</v>
      </c>
      <c r="T680" s="211">
        <f t="shared" si="166"/>
        <v>0</v>
      </c>
      <c r="U680" s="198" t="str">
        <f t="shared" si="165"/>
        <v>SUBDIRECCION DE GESTION CONTRACTUAL</v>
      </c>
      <c r="V680" s="211" t="str">
        <f t="shared" si="159"/>
        <v>CO-DC</v>
      </c>
      <c r="W680" s="211" t="str">
        <f t="shared" si="160"/>
        <v>Distrito Capital de Bogotá</v>
      </c>
      <c r="X680" s="209" t="s">
        <v>512</v>
      </c>
      <c r="Y680" s="202">
        <v>2427400</v>
      </c>
      <c r="Z680" s="212" t="s">
        <v>154</v>
      </c>
      <c r="AA680" s="134"/>
      <c r="AB680" s="134"/>
      <c r="AC680" s="134"/>
      <c r="AD680" s="134"/>
      <c r="AE680" s="134"/>
      <c r="AF680" s="134"/>
      <c r="AG680" s="134"/>
      <c r="AH680" s="134"/>
      <c r="AI680" s="134"/>
      <c r="AJ680" s="134"/>
      <c r="AK680" s="134"/>
      <c r="AL680" s="134"/>
      <c r="AM680" s="134"/>
      <c r="AN680" s="134"/>
      <c r="AO680" s="134"/>
      <c r="AP680" s="134"/>
      <c r="AQ680" s="134"/>
      <c r="AR680" s="134"/>
      <c r="AS680" s="134"/>
      <c r="AT680" s="134"/>
      <c r="AU680" s="132"/>
      <c r="AV680" s="132"/>
      <c r="AW680" s="132"/>
      <c r="AX680" s="132"/>
      <c r="AY680" s="132"/>
      <c r="AZ680" s="132"/>
      <c r="BA680" s="132"/>
      <c r="BB680" s="132"/>
      <c r="BC680" s="132"/>
      <c r="BD680" s="132"/>
      <c r="BE680" s="132"/>
      <c r="BF680" s="132"/>
      <c r="BG680" s="132"/>
      <c r="BH680" s="132"/>
      <c r="BI680" s="132"/>
      <c r="BJ680" s="132"/>
      <c r="BK680" s="132"/>
      <c r="BL680" s="132"/>
      <c r="BM680" s="132"/>
      <c r="BN680" s="132"/>
      <c r="BO680" s="132"/>
      <c r="BP680" s="132"/>
      <c r="BQ680" s="132"/>
      <c r="BR680" s="132"/>
      <c r="BS680" s="132"/>
      <c r="BT680" s="132"/>
      <c r="BU680" s="132"/>
      <c r="BV680" s="132"/>
      <c r="BW680" s="132"/>
      <c r="BX680" s="132"/>
      <c r="BY680" s="132"/>
      <c r="BZ680" s="132"/>
      <c r="CA680" s="132"/>
      <c r="CB680" s="132"/>
      <c r="CC680" s="132"/>
      <c r="CD680" s="132"/>
      <c r="CE680" s="132"/>
      <c r="CF680" s="132"/>
      <c r="CG680" s="140"/>
    </row>
    <row r="681" spans="1:85" s="139" customFormat="1" ht="13.9" customHeight="1" x14ac:dyDescent="0.2">
      <c r="A681" s="208" t="s">
        <v>152</v>
      </c>
      <c r="B681" s="202">
        <v>27</v>
      </c>
      <c r="C681" s="203" t="s">
        <v>538</v>
      </c>
      <c r="D681" s="209" t="s">
        <v>153</v>
      </c>
      <c r="E681" s="210"/>
      <c r="F681" s="210">
        <v>605370738</v>
      </c>
      <c r="G681" s="210"/>
      <c r="H681" s="209" t="s">
        <v>707</v>
      </c>
      <c r="I681" s="203" t="s">
        <v>604</v>
      </c>
      <c r="J681" s="202">
        <v>1</v>
      </c>
      <c r="K681" s="202">
        <v>1</v>
      </c>
      <c r="L681" s="202">
        <v>12</v>
      </c>
      <c r="M681" s="185">
        <f t="shared" si="164"/>
        <v>1</v>
      </c>
      <c r="N681" s="193" t="s">
        <v>36</v>
      </c>
      <c r="O681" s="194" t="s">
        <v>256</v>
      </c>
      <c r="P681" s="211">
        <f t="shared" si="161"/>
        <v>1</v>
      </c>
      <c r="Q681" s="196">
        <f t="shared" si="162"/>
        <v>605370738</v>
      </c>
      <c r="R681" s="196">
        <f t="shared" si="163"/>
        <v>605370738</v>
      </c>
      <c r="S681" s="201" t="s">
        <v>217</v>
      </c>
      <c r="T681" s="211">
        <f t="shared" si="166"/>
        <v>0</v>
      </c>
      <c r="U681" s="198" t="str">
        <f t="shared" si="165"/>
        <v>SUBDIRECCION DE GESTION CONTRACTUAL</v>
      </c>
      <c r="V681" s="211" t="str">
        <f t="shared" si="159"/>
        <v>CO-DC</v>
      </c>
      <c r="W681" s="211" t="str">
        <f t="shared" si="160"/>
        <v>Distrito Capital de Bogotá</v>
      </c>
      <c r="X681" s="209" t="s">
        <v>512</v>
      </c>
      <c r="Y681" s="202">
        <v>2427400</v>
      </c>
      <c r="Z681" s="212" t="s">
        <v>154</v>
      </c>
      <c r="AA681" s="134"/>
      <c r="AB681" s="134"/>
      <c r="AC681" s="134"/>
      <c r="AD681" s="134"/>
      <c r="AE681" s="134"/>
      <c r="AF681" s="134"/>
      <c r="AG681" s="134"/>
      <c r="AH681" s="134"/>
      <c r="AI681" s="134"/>
      <c r="AJ681" s="134"/>
      <c r="AK681" s="134"/>
      <c r="AL681" s="134"/>
      <c r="AM681" s="134"/>
      <c r="AN681" s="134"/>
      <c r="AO681" s="134"/>
      <c r="AP681" s="134"/>
      <c r="AQ681" s="134"/>
      <c r="AR681" s="134"/>
      <c r="AS681" s="134"/>
      <c r="AT681" s="134"/>
      <c r="AU681" s="132"/>
      <c r="AV681" s="132"/>
      <c r="AW681" s="132"/>
      <c r="AX681" s="132"/>
      <c r="AY681" s="132"/>
      <c r="AZ681" s="132"/>
      <c r="BA681" s="132"/>
      <c r="BB681" s="132"/>
      <c r="BC681" s="132"/>
      <c r="BD681" s="132"/>
      <c r="BE681" s="132"/>
      <c r="BF681" s="132"/>
      <c r="BG681" s="132"/>
      <c r="BH681" s="132"/>
      <c r="BI681" s="132"/>
      <c r="BJ681" s="132"/>
      <c r="BK681" s="132"/>
      <c r="BL681" s="132"/>
      <c r="BM681" s="132"/>
      <c r="BN681" s="132"/>
      <c r="BO681" s="132"/>
      <c r="BP681" s="132"/>
      <c r="BQ681" s="132"/>
      <c r="BR681" s="132"/>
      <c r="BS681" s="132"/>
      <c r="BT681" s="132"/>
      <c r="BU681" s="132"/>
      <c r="BV681" s="132"/>
      <c r="BW681" s="132"/>
      <c r="BX681" s="132"/>
      <c r="BY681" s="132"/>
      <c r="BZ681" s="132"/>
      <c r="CA681" s="132"/>
      <c r="CB681" s="132"/>
      <c r="CC681" s="132"/>
      <c r="CD681" s="132"/>
      <c r="CE681" s="132"/>
      <c r="CF681" s="132"/>
      <c r="CG681" s="140"/>
    </row>
    <row r="682" spans="1:85" s="139" customFormat="1" ht="13.9" customHeight="1" x14ac:dyDescent="0.2">
      <c r="A682" s="208" t="s">
        <v>152</v>
      </c>
      <c r="B682" s="202">
        <v>28</v>
      </c>
      <c r="C682" s="203" t="s">
        <v>538</v>
      </c>
      <c r="D682" s="209" t="s">
        <v>153</v>
      </c>
      <c r="E682" s="210"/>
      <c r="F682" s="210">
        <v>1025000000</v>
      </c>
      <c r="G682" s="210"/>
      <c r="H682" s="209" t="s">
        <v>703</v>
      </c>
      <c r="I682" s="203" t="s">
        <v>646</v>
      </c>
      <c r="J682" s="202">
        <v>1</v>
      </c>
      <c r="K682" s="202">
        <v>1</v>
      </c>
      <c r="L682" s="202">
        <v>12</v>
      </c>
      <c r="M682" s="185">
        <f t="shared" si="164"/>
        <v>1</v>
      </c>
      <c r="N682" s="193" t="s">
        <v>36</v>
      </c>
      <c r="O682" s="194" t="s">
        <v>256</v>
      </c>
      <c r="P682" s="211">
        <f t="shared" si="161"/>
        <v>1</v>
      </c>
      <c r="Q682" s="196">
        <f t="shared" si="162"/>
        <v>1025000000</v>
      </c>
      <c r="R682" s="196">
        <f t="shared" si="163"/>
        <v>1025000000</v>
      </c>
      <c r="S682" s="201" t="s">
        <v>217</v>
      </c>
      <c r="T682" s="211">
        <f t="shared" si="166"/>
        <v>0</v>
      </c>
      <c r="U682" s="198" t="str">
        <f t="shared" si="165"/>
        <v>SUBDIRECCION DE GESTION CONTRACTUAL</v>
      </c>
      <c r="V682" s="211" t="str">
        <f t="shared" si="159"/>
        <v>CO-DC</v>
      </c>
      <c r="W682" s="211" t="str">
        <f t="shared" si="160"/>
        <v>Distrito Capital de Bogotá</v>
      </c>
      <c r="X682" s="209" t="s">
        <v>512</v>
      </c>
      <c r="Y682" s="202">
        <v>2427400</v>
      </c>
      <c r="Z682" s="212" t="s">
        <v>154</v>
      </c>
      <c r="AA682" s="134"/>
      <c r="AB682" s="134"/>
      <c r="AC682" s="134"/>
      <c r="AD682" s="134"/>
      <c r="AE682" s="134"/>
      <c r="AF682" s="134"/>
      <c r="AG682" s="134"/>
      <c r="AH682" s="134"/>
      <c r="AI682" s="134"/>
      <c r="AJ682" s="134"/>
      <c r="AK682" s="134"/>
      <c r="AL682" s="134"/>
      <c r="AM682" s="134"/>
      <c r="AN682" s="134"/>
      <c r="AO682" s="134"/>
      <c r="AP682" s="134"/>
      <c r="AQ682" s="134"/>
      <c r="AR682" s="134"/>
      <c r="AS682" s="134"/>
      <c r="AT682" s="134"/>
      <c r="AU682" s="132"/>
      <c r="AV682" s="132"/>
      <c r="AW682" s="132"/>
      <c r="AX682" s="132"/>
      <c r="AY682" s="132"/>
      <c r="AZ682" s="132"/>
      <c r="BA682" s="132"/>
      <c r="BB682" s="132"/>
      <c r="BC682" s="132"/>
      <c r="BD682" s="132"/>
      <c r="BE682" s="132"/>
      <c r="BF682" s="132"/>
      <c r="BG682" s="132"/>
      <c r="BH682" s="132"/>
      <c r="BI682" s="132"/>
      <c r="BJ682" s="132"/>
      <c r="BK682" s="132"/>
      <c r="BL682" s="132"/>
      <c r="BM682" s="132"/>
      <c r="BN682" s="132"/>
      <c r="BO682" s="132"/>
      <c r="BP682" s="132"/>
      <c r="BQ682" s="132"/>
      <c r="BR682" s="132"/>
      <c r="BS682" s="132"/>
      <c r="BT682" s="132"/>
      <c r="BU682" s="132"/>
      <c r="BV682" s="132"/>
      <c r="BW682" s="132"/>
      <c r="BX682" s="132"/>
      <c r="BY682" s="132"/>
      <c r="BZ682" s="132"/>
      <c r="CA682" s="132"/>
      <c r="CB682" s="132"/>
      <c r="CC682" s="132"/>
      <c r="CD682" s="132"/>
      <c r="CE682" s="132"/>
      <c r="CF682" s="132"/>
      <c r="CG682" s="140"/>
    </row>
    <row r="683" spans="1:85" s="139" customFormat="1" ht="13.9" customHeight="1" x14ac:dyDescent="0.2">
      <c r="A683" s="208" t="s">
        <v>152</v>
      </c>
      <c r="B683" s="202">
        <v>29</v>
      </c>
      <c r="C683" s="203" t="s">
        <v>538</v>
      </c>
      <c r="D683" s="209" t="s">
        <v>153</v>
      </c>
      <c r="E683" s="210"/>
      <c r="F683" s="210">
        <v>305440000</v>
      </c>
      <c r="G683" s="210"/>
      <c r="H683" s="209" t="s">
        <v>703</v>
      </c>
      <c r="I683" s="203" t="s">
        <v>647</v>
      </c>
      <c r="J683" s="202">
        <v>1</v>
      </c>
      <c r="K683" s="202">
        <v>1</v>
      </c>
      <c r="L683" s="202">
        <v>12</v>
      </c>
      <c r="M683" s="185">
        <f t="shared" si="164"/>
        <v>1</v>
      </c>
      <c r="N683" s="193" t="s">
        <v>36</v>
      </c>
      <c r="O683" s="194" t="s">
        <v>256</v>
      </c>
      <c r="P683" s="211">
        <f t="shared" si="161"/>
        <v>1</v>
      </c>
      <c r="Q683" s="196">
        <f t="shared" si="162"/>
        <v>305440000</v>
      </c>
      <c r="R683" s="196">
        <f t="shared" si="163"/>
        <v>305440000</v>
      </c>
      <c r="S683" s="201" t="s">
        <v>217</v>
      </c>
      <c r="T683" s="211">
        <f t="shared" si="166"/>
        <v>0</v>
      </c>
      <c r="U683" s="198" t="str">
        <f t="shared" si="165"/>
        <v>SUBDIRECCION DE GESTION CONTRACTUAL</v>
      </c>
      <c r="V683" s="211" t="str">
        <f t="shared" si="159"/>
        <v>CO-DC</v>
      </c>
      <c r="W683" s="211" t="str">
        <f t="shared" si="160"/>
        <v>Distrito Capital de Bogotá</v>
      </c>
      <c r="X683" s="209" t="s">
        <v>512</v>
      </c>
      <c r="Y683" s="202">
        <v>2427400</v>
      </c>
      <c r="Z683" s="212" t="s">
        <v>154</v>
      </c>
      <c r="AA683" s="134"/>
      <c r="AB683" s="134"/>
      <c r="AC683" s="134"/>
      <c r="AD683" s="134"/>
      <c r="AE683" s="134"/>
      <c r="AF683" s="134"/>
      <c r="AG683" s="134"/>
      <c r="AH683" s="134"/>
      <c r="AI683" s="134"/>
      <c r="AJ683" s="134"/>
      <c r="AK683" s="134"/>
      <c r="AL683" s="134"/>
      <c r="AM683" s="134"/>
      <c r="AN683" s="134"/>
      <c r="AO683" s="134"/>
      <c r="AP683" s="134"/>
      <c r="AQ683" s="134"/>
      <c r="AR683" s="134"/>
      <c r="AS683" s="134"/>
      <c r="AT683" s="134"/>
      <c r="AU683" s="132"/>
      <c r="AV683" s="132"/>
      <c r="AW683" s="132"/>
      <c r="AX683" s="132"/>
      <c r="AY683" s="132"/>
      <c r="AZ683" s="132"/>
      <c r="BA683" s="132"/>
      <c r="BB683" s="132"/>
      <c r="BC683" s="132"/>
      <c r="BD683" s="132"/>
      <c r="BE683" s="132"/>
      <c r="BF683" s="132"/>
      <c r="BG683" s="132"/>
      <c r="BH683" s="132"/>
      <c r="BI683" s="132"/>
      <c r="BJ683" s="132"/>
      <c r="BK683" s="132"/>
      <c r="BL683" s="132"/>
      <c r="BM683" s="132"/>
      <c r="BN683" s="132"/>
      <c r="BO683" s="132"/>
      <c r="BP683" s="132"/>
      <c r="BQ683" s="132"/>
      <c r="BR683" s="132"/>
      <c r="BS683" s="132"/>
      <c r="BT683" s="132"/>
      <c r="BU683" s="132"/>
      <c r="BV683" s="132"/>
      <c r="BW683" s="132"/>
      <c r="BX683" s="132"/>
      <c r="BY683" s="132"/>
      <c r="BZ683" s="132"/>
      <c r="CA683" s="132"/>
      <c r="CB683" s="132"/>
      <c r="CC683" s="132"/>
      <c r="CD683" s="132"/>
      <c r="CE683" s="132"/>
      <c r="CF683" s="132"/>
      <c r="CG683" s="140"/>
    </row>
    <row r="684" spans="1:85" s="139" customFormat="1" ht="13.9" customHeight="1" x14ac:dyDescent="0.2">
      <c r="A684" s="208" t="s">
        <v>152</v>
      </c>
      <c r="B684" s="202">
        <v>30</v>
      </c>
      <c r="C684" s="203" t="s">
        <v>538</v>
      </c>
      <c r="D684" s="209" t="s">
        <v>153</v>
      </c>
      <c r="E684" s="210"/>
      <c r="F684" s="210">
        <v>294400000</v>
      </c>
      <c r="G684" s="210"/>
      <c r="H684" s="209" t="s">
        <v>703</v>
      </c>
      <c r="I684" s="203" t="s">
        <v>648</v>
      </c>
      <c r="J684" s="202">
        <v>1</v>
      </c>
      <c r="K684" s="202">
        <v>1</v>
      </c>
      <c r="L684" s="202">
        <v>12</v>
      </c>
      <c r="M684" s="185">
        <f t="shared" si="164"/>
        <v>1</v>
      </c>
      <c r="N684" s="193" t="s">
        <v>36</v>
      </c>
      <c r="O684" s="194" t="s">
        <v>256</v>
      </c>
      <c r="P684" s="211">
        <f t="shared" si="161"/>
        <v>1</v>
      </c>
      <c r="Q684" s="196">
        <f t="shared" si="162"/>
        <v>294400000</v>
      </c>
      <c r="R684" s="196">
        <f t="shared" si="163"/>
        <v>294400000</v>
      </c>
      <c r="S684" s="201" t="s">
        <v>217</v>
      </c>
      <c r="T684" s="211">
        <f t="shared" si="166"/>
        <v>0</v>
      </c>
      <c r="U684" s="198" t="str">
        <f t="shared" si="165"/>
        <v>SUBDIRECCION DE GESTION CONTRACTUAL</v>
      </c>
      <c r="V684" s="211" t="str">
        <f t="shared" si="159"/>
        <v>CO-DC</v>
      </c>
      <c r="W684" s="211" t="str">
        <f t="shared" si="160"/>
        <v>Distrito Capital de Bogotá</v>
      </c>
      <c r="X684" s="209" t="s">
        <v>512</v>
      </c>
      <c r="Y684" s="202">
        <v>2427400</v>
      </c>
      <c r="Z684" s="212" t="s">
        <v>154</v>
      </c>
      <c r="AA684" s="134"/>
      <c r="AB684" s="134"/>
      <c r="AC684" s="134"/>
      <c r="AD684" s="134"/>
      <c r="AE684" s="134"/>
      <c r="AF684" s="134"/>
      <c r="AG684" s="134"/>
      <c r="AH684" s="134"/>
      <c r="AI684" s="134"/>
      <c r="AJ684" s="134"/>
      <c r="AK684" s="134"/>
      <c r="AL684" s="134"/>
      <c r="AM684" s="134"/>
      <c r="AN684" s="134"/>
      <c r="AO684" s="134"/>
      <c r="AP684" s="134"/>
      <c r="AQ684" s="134"/>
      <c r="AR684" s="134"/>
      <c r="AS684" s="134"/>
      <c r="AT684" s="134"/>
      <c r="AU684" s="132"/>
      <c r="AV684" s="132"/>
      <c r="AW684" s="132"/>
      <c r="AX684" s="132"/>
      <c r="AY684" s="132"/>
      <c r="AZ684" s="132"/>
      <c r="BA684" s="132"/>
      <c r="BB684" s="132"/>
      <c r="BC684" s="132"/>
      <c r="BD684" s="132"/>
      <c r="BE684" s="132"/>
      <c r="BF684" s="132"/>
      <c r="BG684" s="132"/>
      <c r="BH684" s="132"/>
      <c r="BI684" s="132"/>
      <c r="BJ684" s="132"/>
      <c r="BK684" s="132"/>
      <c r="BL684" s="132"/>
      <c r="BM684" s="132"/>
      <c r="BN684" s="132"/>
      <c r="BO684" s="132"/>
      <c r="BP684" s="132"/>
      <c r="BQ684" s="132"/>
      <c r="BR684" s="132"/>
      <c r="BS684" s="132"/>
      <c r="BT684" s="132"/>
      <c r="BU684" s="132"/>
      <c r="BV684" s="132"/>
      <c r="BW684" s="132"/>
      <c r="BX684" s="132"/>
      <c r="BY684" s="132"/>
      <c r="BZ684" s="132"/>
      <c r="CA684" s="132"/>
      <c r="CB684" s="132"/>
      <c r="CC684" s="132"/>
      <c r="CD684" s="132"/>
      <c r="CE684" s="132"/>
      <c r="CF684" s="132"/>
      <c r="CG684" s="140"/>
    </row>
    <row r="685" spans="1:85" s="139" customFormat="1" ht="13.9" customHeight="1" x14ac:dyDescent="0.2">
      <c r="A685" s="208" t="s">
        <v>152</v>
      </c>
      <c r="B685" s="202">
        <v>31</v>
      </c>
      <c r="C685" s="203" t="s">
        <v>538</v>
      </c>
      <c r="D685" s="209" t="s">
        <v>153</v>
      </c>
      <c r="E685" s="210"/>
      <c r="F685" s="210">
        <v>414000000</v>
      </c>
      <c r="G685" s="210"/>
      <c r="H685" s="209" t="s">
        <v>703</v>
      </c>
      <c r="I685" s="203" t="s">
        <v>649</v>
      </c>
      <c r="J685" s="202">
        <v>1</v>
      </c>
      <c r="K685" s="202">
        <v>1</v>
      </c>
      <c r="L685" s="202">
        <v>12</v>
      </c>
      <c r="M685" s="185">
        <f t="shared" si="164"/>
        <v>1</v>
      </c>
      <c r="N685" s="193" t="s">
        <v>36</v>
      </c>
      <c r="O685" s="194" t="s">
        <v>256</v>
      </c>
      <c r="P685" s="211">
        <f t="shared" si="161"/>
        <v>1</v>
      </c>
      <c r="Q685" s="196">
        <f t="shared" si="162"/>
        <v>414000000</v>
      </c>
      <c r="R685" s="196">
        <f t="shared" si="163"/>
        <v>414000000</v>
      </c>
      <c r="S685" s="201" t="s">
        <v>217</v>
      </c>
      <c r="T685" s="211">
        <f t="shared" si="166"/>
        <v>0</v>
      </c>
      <c r="U685" s="198" t="str">
        <f t="shared" si="165"/>
        <v>SUBDIRECCION DE GESTION CONTRACTUAL</v>
      </c>
      <c r="V685" s="211" t="str">
        <f t="shared" si="159"/>
        <v>CO-DC</v>
      </c>
      <c r="W685" s="211" t="str">
        <f t="shared" si="160"/>
        <v>Distrito Capital de Bogotá</v>
      </c>
      <c r="X685" s="209" t="s">
        <v>512</v>
      </c>
      <c r="Y685" s="202">
        <v>2427400</v>
      </c>
      <c r="Z685" s="212" t="s">
        <v>154</v>
      </c>
      <c r="AA685" s="134"/>
      <c r="AB685" s="134"/>
      <c r="AC685" s="134"/>
      <c r="AD685" s="134"/>
      <c r="AE685" s="134"/>
      <c r="AF685" s="134"/>
      <c r="AG685" s="134"/>
      <c r="AH685" s="134"/>
      <c r="AI685" s="134"/>
      <c r="AJ685" s="134"/>
      <c r="AK685" s="134"/>
      <c r="AL685" s="134"/>
      <c r="AM685" s="134"/>
      <c r="AN685" s="134"/>
      <c r="AO685" s="134"/>
      <c r="AP685" s="134"/>
      <c r="AQ685" s="134"/>
      <c r="AR685" s="134"/>
      <c r="AS685" s="134"/>
      <c r="AT685" s="134"/>
      <c r="AU685" s="132"/>
      <c r="AV685" s="132"/>
      <c r="AW685" s="132"/>
      <c r="AX685" s="132"/>
      <c r="AY685" s="132"/>
      <c r="AZ685" s="132"/>
      <c r="BA685" s="132"/>
      <c r="BB685" s="132"/>
      <c r="BC685" s="132"/>
      <c r="BD685" s="132"/>
      <c r="BE685" s="132"/>
      <c r="BF685" s="132"/>
      <c r="BG685" s="132"/>
      <c r="BH685" s="132"/>
      <c r="BI685" s="132"/>
      <c r="BJ685" s="132"/>
      <c r="BK685" s="132"/>
      <c r="BL685" s="132"/>
      <c r="BM685" s="132"/>
      <c r="BN685" s="132"/>
      <c r="BO685" s="132"/>
      <c r="BP685" s="132"/>
      <c r="BQ685" s="132"/>
      <c r="BR685" s="132"/>
      <c r="BS685" s="132"/>
      <c r="BT685" s="132"/>
      <c r="BU685" s="132"/>
      <c r="BV685" s="132"/>
      <c r="BW685" s="132"/>
      <c r="BX685" s="132"/>
      <c r="BY685" s="132"/>
      <c r="BZ685" s="132"/>
      <c r="CA685" s="132"/>
      <c r="CB685" s="132"/>
      <c r="CC685" s="132"/>
      <c r="CD685" s="132"/>
      <c r="CE685" s="132"/>
      <c r="CF685" s="132"/>
      <c r="CG685" s="140"/>
    </row>
    <row r="686" spans="1:85" s="139" customFormat="1" ht="13.9" customHeight="1" x14ac:dyDescent="0.2">
      <c r="A686" s="208" t="s">
        <v>152</v>
      </c>
      <c r="B686" s="202">
        <v>32</v>
      </c>
      <c r="C686" s="203" t="s">
        <v>538</v>
      </c>
      <c r="D686" s="209" t="s">
        <v>153</v>
      </c>
      <c r="E686" s="210"/>
      <c r="F686" s="210">
        <v>205000000</v>
      </c>
      <c r="G686" s="210"/>
      <c r="H686" s="209" t="s">
        <v>703</v>
      </c>
      <c r="I686" s="203" t="s">
        <v>650</v>
      </c>
      <c r="J686" s="202">
        <v>1</v>
      </c>
      <c r="K686" s="202">
        <v>1</v>
      </c>
      <c r="L686" s="202">
        <v>12</v>
      </c>
      <c r="M686" s="185">
        <f t="shared" si="164"/>
        <v>1</v>
      </c>
      <c r="N686" s="193" t="s">
        <v>36</v>
      </c>
      <c r="O686" s="194" t="s">
        <v>256</v>
      </c>
      <c r="P686" s="211">
        <f t="shared" si="161"/>
        <v>1</v>
      </c>
      <c r="Q686" s="196">
        <f t="shared" si="162"/>
        <v>205000000</v>
      </c>
      <c r="R686" s="196">
        <f t="shared" si="163"/>
        <v>205000000</v>
      </c>
      <c r="S686" s="201" t="s">
        <v>217</v>
      </c>
      <c r="T686" s="211">
        <f t="shared" si="166"/>
        <v>0</v>
      </c>
      <c r="U686" s="198" t="str">
        <f t="shared" si="165"/>
        <v>SUBDIRECCION DE GESTION CONTRACTUAL</v>
      </c>
      <c r="V686" s="211" t="str">
        <f t="shared" ref="V686:V717" si="167">IF(ISBLANK(N686),"","CO-DC")</f>
        <v>CO-DC</v>
      </c>
      <c r="W686" s="211" t="str">
        <f t="shared" ref="W686:W717" si="168">IF(ISBLANK(N686),"","Distrito Capital de Bogotá")</f>
        <v>Distrito Capital de Bogotá</v>
      </c>
      <c r="X686" s="209" t="s">
        <v>512</v>
      </c>
      <c r="Y686" s="202">
        <v>2427400</v>
      </c>
      <c r="Z686" s="212" t="s">
        <v>154</v>
      </c>
      <c r="AA686" s="134"/>
      <c r="AB686" s="134"/>
      <c r="AC686" s="134"/>
      <c r="AD686" s="134"/>
      <c r="AE686" s="134"/>
      <c r="AF686" s="134"/>
      <c r="AG686" s="134"/>
      <c r="AH686" s="134"/>
      <c r="AI686" s="134"/>
      <c r="AJ686" s="134"/>
      <c r="AK686" s="134"/>
      <c r="AL686" s="134"/>
      <c r="AM686" s="134"/>
      <c r="AN686" s="134"/>
      <c r="AO686" s="134"/>
      <c r="AP686" s="134"/>
      <c r="AQ686" s="134"/>
      <c r="AR686" s="134"/>
      <c r="AS686" s="134"/>
      <c r="AT686" s="134"/>
      <c r="AU686" s="132"/>
      <c r="AV686" s="132"/>
      <c r="AW686" s="132"/>
      <c r="AX686" s="132"/>
      <c r="AY686" s="132"/>
      <c r="AZ686" s="132"/>
      <c r="BA686" s="132"/>
      <c r="BB686" s="132"/>
      <c r="BC686" s="132"/>
      <c r="BD686" s="132"/>
      <c r="BE686" s="132"/>
      <c r="BF686" s="132"/>
      <c r="BG686" s="132"/>
      <c r="BH686" s="132"/>
      <c r="BI686" s="132"/>
      <c r="BJ686" s="132"/>
      <c r="BK686" s="132"/>
      <c r="BL686" s="132"/>
      <c r="BM686" s="132"/>
      <c r="BN686" s="132"/>
      <c r="BO686" s="132"/>
      <c r="BP686" s="132"/>
      <c r="BQ686" s="132"/>
      <c r="BR686" s="132"/>
      <c r="BS686" s="132"/>
      <c r="BT686" s="132"/>
      <c r="BU686" s="132"/>
      <c r="BV686" s="132"/>
      <c r="BW686" s="132"/>
      <c r="BX686" s="132"/>
      <c r="BY686" s="132"/>
      <c r="BZ686" s="132"/>
      <c r="CA686" s="132"/>
      <c r="CB686" s="132"/>
      <c r="CC686" s="132"/>
      <c r="CD686" s="132"/>
      <c r="CE686" s="132"/>
      <c r="CF686" s="132"/>
      <c r="CG686" s="140"/>
    </row>
    <row r="687" spans="1:85" s="139" customFormat="1" ht="13.9" customHeight="1" x14ac:dyDescent="0.2">
      <c r="A687" s="208" t="s">
        <v>152</v>
      </c>
      <c r="B687" s="202">
        <v>33</v>
      </c>
      <c r="C687" s="203" t="s">
        <v>538</v>
      </c>
      <c r="D687" s="209" t="s">
        <v>153</v>
      </c>
      <c r="E687" s="210"/>
      <c r="F687" s="210">
        <v>250000000</v>
      </c>
      <c r="G687" s="210"/>
      <c r="H687" s="209" t="s">
        <v>703</v>
      </c>
      <c r="I687" s="203" t="s">
        <v>651</v>
      </c>
      <c r="J687" s="202">
        <v>1</v>
      </c>
      <c r="K687" s="202">
        <v>1</v>
      </c>
      <c r="L687" s="202">
        <v>12</v>
      </c>
      <c r="M687" s="185">
        <f t="shared" si="164"/>
        <v>1</v>
      </c>
      <c r="N687" s="193" t="s">
        <v>36</v>
      </c>
      <c r="O687" s="194" t="s">
        <v>256</v>
      </c>
      <c r="P687" s="211">
        <f t="shared" ref="P687:P718" si="169">IF(ISBLANK(N687),"",1)</f>
        <v>1</v>
      </c>
      <c r="Q687" s="196">
        <f t="shared" si="162"/>
        <v>250000000</v>
      </c>
      <c r="R687" s="196">
        <f t="shared" si="163"/>
        <v>250000000</v>
      </c>
      <c r="S687" s="201" t="s">
        <v>217</v>
      </c>
      <c r="T687" s="211">
        <f t="shared" si="166"/>
        <v>0</v>
      </c>
      <c r="U687" s="198" t="str">
        <f t="shared" si="165"/>
        <v>SUBDIRECCION DE GESTION CONTRACTUAL</v>
      </c>
      <c r="V687" s="211" t="str">
        <f t="shared" si="167"/>
        <v>CO-DC</v>
      </c>
      <c r="W687" s="211" t="str">
        <f t="shared" si="168"/>
        <v>Distrito Capital de Bogotá</v>
      </c>
      <c r="X687" s="209" t="s">
        <v>512</v>
      </c>
      <c r="Y687" s="202">
        <v>2427400</v>
      </c>
      <c r="Z687" s="212" t="s">
        <v>154</v>
      </c>
      <c r="AA687" s="134"/>
      <c r="AB687" s="134"/>
      <c r="AC687" s="134"/>
      <c r="AD687" s="134"/>
      <c r="AE687" s="134"/>
      <c r="AF687" s="134"/>
      <c r="AG687" s="134"/>
      <c r="AH687" s="134"/>
      <c r="AI687" s="134"/>
      <c r="AJ687" s="134"/>
      <c r="AK687" s="134"/>
      <c r="AL687" s="134"/>
      <c r="AM687" s="134"/>
      <c r="AN687" s="134"/>
      <c r="AO687" s="134"/>
      <c r="AP687" s="134"/>
      <c r="AQ687" s="134"/>
      <c r="AR687" s="134"/>
      <c r="AS687" s="134"/>
      <c r="AT687" s="134"/>
      <c r="AU687" s="132"/>
      <c r="AV687" s="132"/>
      <c r="AW687" s="132"/>
      <c r="AX687" s="132"/>
      <c r="AY687" s="132"/>
      <c r="AZ687" s="132"/>
      <c r="BA687" s="132"/>
      <c r="BB687" s="132"/>
      <c r="BC687" s="132"/>
      <c r="BD687" s="132"/>
      <c r="BE687" s="132"/>
      <c r="BF687" s="132"/>
      <c r="BG687" s="132"/>
      <c r="BH687" s="132"/>
      <c r="BI687" s="132"/>
      <c r="BJ687" s="132"/>
      <c r="BK687" s="132"/>
      <c r="BL687" s="132"/>
      <c r="BM687" s="132"/>
      <c r="BN687" s="132"/>
      <c r="BO687" s="132"/>
      <c r="BP687" s="132"/>
      <c r="BQ687" s="132"/>
      <c r="BR687" s="132"/>
      <c r="BS687" s="132"/>
      <c r="BT687" s="132"/>
      <c r="BU687" s="132"/>
      <c r="BV687" s="132"/>
      <c r="BW687" s="132"/>
      <c r="BX687" s="132"/>
      <c r="BY687" s="132"/>
      <c r="BZ687" s="132"/>
      <c r="CA687" s="132"/>
      <c r="CB687" s="132"/>
      <c r="CC687" s="132"/>
      <c r="CD687" s="132"/>
      <c r="CE687" s="132"/>
      <c r="CF687" s="132"/>
      <c r="CG687" s="140"/>
    </row>
    <row r="688" spans="1:85" s="139" customFormat="1" ht="13.9" customHeight="1" x14ac:dyDescent="0.2">
      <c r="A688" s="208" t="s">
        <v>152</v>
      </c>
      <c r="B688" s="202">
        <v>34</v>
      </c>
      <c r="C688" s="203" t="s">
        <v>538</v>
      </c>
      <c r="D688" s="209" t="s">
        <v>153</v>
      </c>
      <c r="E688" s="210"/>
      <c r="F688" s="210">
        <v>250000000</v>
      </c>
      <c r="G688" s="210"/>
      <c r="H688" s="209" t="s">
        <v>703</v>
      </c>
      <c r="I688" s="203" t="s">
        <v>652</v>
      </c>
      <c r="J688" s="202">
        <v>1</v>
      </c>
      <c r="K688" s="202">
        <v>1</v>
      </c>
      <c r="L688" s="202">
        <v>12</v>
      </c>
      <c r="M688" s="185">
        <f t="shared" si="164"/>
        <v>1</v>
      </c>
      <c r="N688" s="193" t="s">
        <v>36</v>
      </c>
      <c r="O688" s="194" t="s">
        <v>256</v>
      </c>
      <c r="P688" s="211">
        <f t="shared" si="169"/>
        <v>1</v>
      </c>
      <c r="Q688" s="196">
        <f t="shared" si="162"/>
        <v>250000000</v>
      </c>
      <c r="R688" s="196">
        <f t="shared" si="163"/>
        <v>250000000</v>
      </c>
      <c r="S688" s="201" t="s">
        <v>217</v>
      </c>
      <c r="T688" s="211">
        <f t="shared" si="166"/>
        <v>0</v>
      </c>
      <c r="U688" s="198" t="str">
        <f t="shared" si="165"/>
        <v>SUBDIRECCION DE GESTION CONTRACTUAL</v>
      </c>
      <c r="V688" s="211" t="str">
        <f t="shared" si="167"/>
        <v>CO-DC</v>
      </c>
      <c r="W688" s="211" t="str">
        <f t="shared" si="168"/>
        <v>Distrito Capital de Bogotá</v>
      </c>
      <c r="X688" s="209" t="s">
        <v>512</v>
      </c>
      <c r="Y688" s="202">
        <v>2427400</v>
      </c>
      <c r="Z688" s="212" t="s">
        <v>154</v>
      </c>
      <c r="AA688" s="134"/>
      <c r="AB688" s="134"/>
      <c r="AC688" s="134"/>
      <c r="AD688" s="134"/>
      <c r="AE688" s="134"/>
      <c r="AF688" s="134"/>
      <c r="AG688" s="134"/>
      <c r="AH688" s="134"/>
      <c r="AI688" s="134"/>
      <c r="AJ688" s="134"/>
      <c r="AK688" s="134"/>
      <c r="AL688" s="134"/>
      <c r="AM688" s="134"/>
      <c r="AN688" s="134"/>
      <c r="AO688" s="134"/>
      <c r="AP688" s="134"/>
      <c r="AQ688" s="134"/>
      <c r="AR688" s="134"/>
      <c r="AS688" s="134"/>
      <c r="AT688" s="134"/>
      <c r="AU688" s="132"/>
      <c r="AV688" s="132"/>
      <c r="AW688" s="132"/>
      <c r="AX688" s="132"/>
      <c r="AY688" s="132"/>
      <c r="AZ688" s="132"/>
      <c r="BA688" s="132"/>
      <c r="BB688" s="132"/>
      <c r="BC688" s="132"/>
      <c r="BD688" s="132"/>
      <c r="BE688" s="132"/>
      <c r="BF688" s="132"/>
      <c r="BG688" s="132"/>
      <c r="BH688" s="132"/>
      <c r="BI688" s="132"/>
      <c r="BJ688" s="132"/>
      <c r="BK688" s="132"/>
      <c r="BL688" s="132"/>
      <c r="BM688" s="132"/>
      <c r="BN688" s="132"/>
      <c r="BO688" s="132"/>
      <c r="BP688" s="132"/>
      <c r="BQ688" s="132"/>
      <c r="BR688" s="132"/>
      <c r="BS688" s="132"/>
      <c r="BT688" s="132"/>
      <c r="BU688" s="132"/>
      <c r="BV688" s="132"/>
      <c r="BW688" s="132"/>
      <c r="BX688" s="132"/>
      <c r="BY688" s="132"/>
      <c r="BZ688" s="132"/>
      <c r="CA688" s="132"/>
      <c r="CB688" s="132"/>
      <c r="CC688" s="132"/>
      <c r="CD688" s="132"/>
      <c r="CE688" s="132"/>
      <c r="CF688" s="132"/>
      <c r="CG688" s="140"/>
    </row>
    <row r="689" spans="1:85" s="139" customFormat="1" ht="13.9" customHeight="1" x14ac:dyDescent="0.2">
      <c r="A689" s="208" t="s">
        <v>152</v>
      </c>
      <c r="B689" s="202">
        <v>35</v>
      </c>
      <c r="C689" s="203" t="s">
        <v>538</v>
      </c>
      <c r="D689" s="209" t="s">
        <v>153</v>
      </c>
      <c r="E689" s="210"/>
      <c r="F689" s="210">
        <v>147071700</v>
      </c>
      <c r="G689" s="210"/>
      <c r="H689" s="209" t="s">
        <v>703</v>
      </c>
      <c r="I689" s="203" t="s">
        <v>653</v>
      </c>
      <c r="J689" s="202">
        <v>1</v>
      </c>
      <c r="K689" s="202">
        <v>1</v>
      </c>
      <c r="L689" s="202">
        <v>12</v>
      </c>
      <c r="M689" s="185">
        <f t="shared" si="164"/>
        <v>1</v>
      </c>
      <c r="N689" s="193" t="s">
        <v>36</v>
      </c>
      <c r="O689" s="194" t="s">
        <v>256</v>
      </c>
      <c r="P689" s="211">
        <f t="shared" si="169"/>
        <v>1</v>
      </c>
      <c r="Q689" s="196">
        <f t="shared" si="162"/>
        <v>147071700</v>
      </c>
      <c r="R689" s="196">
        <f t="shared" si="163"/>
        <v>147071700</v>
      </c>
      <c r="S689" s="201" t="s">
        <v>217</v>
      </c>
      <c r="T689" s="211">
        <f t="shared" si="166"/>
        <v>0</v>
      </c>
      <c r="U689" s="198" t="str">
        <f t="shared" si="165"/>
        <v>SUBDIRECCION DE GESTION CONTRACTUAL</v>
      </c>
      <c r="V689" s="211" t="str">
        <f t="shared" si="167"/>
        <v>CO-DC</v>
      </c>
      <c r="W689" s="211" t="str">
        <f t="shared" si="168"/>
        <v>Distrito Capital de Bogotá</v>
      </c>
      <c r="X689" s="209" t="s">
        <v>512</v>
      </c>
      <c r="Y689" s="202">
        <v>2427400</v>
      </c>
      <c r="Z689" s="212" t="s">
        <v>154</v>
      </c>
      <c r="AA689" s="134"/>
      <c r="AB689" s="134"/>
      <c r="AC689" s="134"/>
      <c r="AD689" s="134"/>
      <c r="AE689" s="134"/>
      <c r="AF689" s="134"/>
      <c r="AG689" s="134"/>
      <c r="AH689" s="134"/>
      <c r="AI689" s="134"/>
      <c r="AJ689" s="134"/>
      <c r="AK689" s="134"/>
      <c r="AL689" s="134"/>
      <c r="AM689" s="134"/>
      <c r="AN689" s="134"/>
      <c r="AO689" s="134"/>
      <c r="AP689" s="134"/>
      <c r="AQ689" s="134"/>
      <c r="AR689" s="134"/>
      <c r="AS689" s="134"/>
      <c r="AT689" s="134"/>
      <c r="AU689" s="132"/>
      <c r="AV689" s="132"/>
      <c r="AW689" s="132"/>
      <c r="AX689" s="132"/>
      <c r="AY689" s="132"/>
      <c r="AZ689" s="132"/>
      <c r="BA689" s="132"/>
      <c r="BB689" s="132"/>
      <c r="BC689" s="132"/>
      <c r="BD689" s="132"/>
      <c r="BE689" s="132"/>
      <c r="BF689" s="132"/>
      <c r="BG689" s="132"/>
      <c r="BH689" s="132"/>
      <c r="BI689" s="132"/>
      <c r="BJ689" s="132"/>
      <c r="BK689" s="132"/>
      <c r="BL689" s="132"/>
      <c r="BM689" s="132"/>
      <c r="BN689" s="132"/>
      <c r="BO689" s="132"/>
      <c r="BP689" s="132"/>
      <c r="BQ689" s="132"/>
      <c r="BR689" s="132"/>
      <c r="BS689" s="132"/>
      <c r="BT689" s="132"/>
      <c r="BU689" s="132"/>
      <c r="BV689" s="132"/>
      <c r="BW689" s="132"/>
      <c r="BX689" s="132"/>
      <c r="BY689" s="132"/>
      <c r="BZ689" s="132"/>
      <c r="CA689" s="132"/>
      <c r="CB689" s="132"/>
      <c r="CC689" s="132"/>
      <c r="CD689" s="132"/>
      <c r="CE689" s="132"/>
      <c r="CF689" s="132"/>
      <c r="CG689" s="140"/>
    </row>
    <row r="690" spans="1:85" s="139" customFormat="1" ht="13.9" customHeight="1" x14ac:dyDescent="0.2">
      <c r="A690" s="208" t="s">
        <v>152</v>
      </c>
      <c r="B690" s="202">
        <v>36</v>
      </c>
      <c r="C690" s="203" t="s">
        <v>538</v>
      </c>
      <c r="D690" s="209" t="s">
        <v>153</v>
      </c>
      <c r="E690" s="210"/>
      <c r="F690" s="210">
        <v>359287380</v>
      </c>
      <c r="G690" s="210"/>
      <c r="H690" s="209" t="s">
        <v>703</v>
      </c>
      <c r="I690" s="203" t="s">
        <v>654</v>
      </c>
      <c r="J690" s="202">
        <v>1</v>
      </c>
      <c r="K690" s="202">
        <v>1</v>
      </c>
      <c r="L690" s="202">
        <v>12</v>
      </c>
      <c r="M690" s="185">
        <f t="shared" si="164"/>
        <v>1</v>
      </c>
      <c r="N690" s="193" t="s">
        <v>36</v>
      </c>
      <c r="O690" s="194" t="s">
        <v>256</v>
      </c>
      <c r="P690" s="211">
        <f t="shared" si="169"/>
        <v>1</v>
      </c>
      <c r="Q690" s="196">
        <f t="shared" si="162"/>
        <v>359287380</v>
      </c>
      <c r="R690" s="196">
        <f t="shared" si="163"/>
        <v>359287380</v>
      </c>
      <c r="S690" s="201" t="s">
        <v>217</v>
      </c>
      <c r="T690" s="211">
        <f t="shared" si="166"/>
        <v>0</v>
      </c>
      <c r="U690" s="198" t="str">
        <f t="shared" si="165"/>
        <v>SUBDIRECCION DE GESTION CONTRACTUAL</v>
      </c>
      <c r="V690" s="211" t="str">
        <f t="shared" si="167"/>
        <v>CO-DC</v>
      </c>
      <c r="W690" s="211" t="str">
        <f t="shared" si="168"/>
        <v>Distrito Capital de Bogotá</v>
      </c>
      <c r="X690" s="209" t="s">
        <v>512</v>
      </c>
      <c r="Y690" s="202">
        <v>2427400</v>
      </c>
      <c r="Z690" s="212" t="s">
        <v>154</v>
      </c>
      <c r="AA690" s="134"/>
      <c r="AB690" s="134"/>
      <c r="AC690" s="134"/>
      <c r="AD690" s="134"/>
      <c r="AE690" s="134"/>
      <c r="AF690" s="134"/>
      <c r="AG690" s="134"/>
      <c r="AH690" s="134"/>
      <c r="AI690" s="134"/>
      <c r="AJ690" s="134"/>
      <c r="AK690" s="134"/>
      <c r="AL690" s="134"/>
      <c r="AM690" s="134"/>
      <c r="AN690" s="134"/>
      <c r="AO690" s="134"/>
      <c r="AP690" s="134"/>
      <c r="AQ690" s="134"/>
      <c r="AR690" s="134"/>
      <c r="AS690" s="134"/>
      <c r="AT690" s="134"/>
      <c r="AU690" s="132"/>
      <c r="AV690" s="132"/>
      <c r="AW690" s="132"/>
      <c r="AX690" s="132"/>
      <c r="AY690" s="132"/>
      <c r="AZ690" s="132"/>
      <c r="BA690" s="132"/>
      <c r="BB690" s="132"/>
      <c r="BC690" s="132"/>
      <c r="BD690" s="132"/>
      <c r="BE690" s="132"/>
      <c r="BF690" s="132"/>
      <c r="BG690" s="132"/>
      <c r="BH690" s="132"/>
      <c r="BI690" s="132"/>
      <c r="BJ690" s="132"/>
      <c r="BK690" s="132"/>
      <c r="BL690" s="132"/>
      <c r="BM690" s="132"/>
      <c r="BN690" s="132"/>
      <c r="BO690" s="132"/>
      <c r="BP690" s="132"/>
      <c r="BQ690" s="132"/>
      <c r="BR690" s="132"/>
      <c r="BS690" s="132"/>
      <c r="BT690" s="132"/>
      <c r="BU690" s="132"/>
      <c r="BV690" s="132"/>
      <c r="BW690" s="132"/>
      <c r="BX690" s="132"/>
      <c r="BY690" s="132"/>
      <c r="BZ690" s="132"/>
      <c r="CA690" s="132"/>
      <c r="CB690" s="132"/>
      <c r="CC690" s="132"/>
      <c r="CD690" s="132"/>
      <c r="CE690" s="132"/>
      <c r="CF690" s="132"/>
      <c r="CG690" s="140"/>
    </row>
    <row r="691" spans="1:85" s="139" customFormat="1" ht="13.9" customHeight="1" x14ac:dyDescent="0.2">
      <c r="A691" s="208" t="s">
        <v>152</v>
      </c>
      <c r="B691" s="202">
        <v>37</v>
      </c>
      <c r="C691" s="203" t="s">
        <v>538</v>
      </c>
      <c r="D691" s="209" t="s">
        <v>153</v>
      </c>
      <c r="E691" s="210"/>
      <c r="F691" s="210">
        <v>147071700</v>
      </c>
      <c r="G691" s="210"/>
      <c r="H691" s="209" t="s">
        <v>703</v>
      </c>
      <c r="I691" s="203" t="s">
        <v>655</v>
      </c>
      <c r="J691" s="202">
        <v>1</v>
      </c>
      <c r="K691" s="202">
        <v>1</v>
      </c>
      <c r="L691" s="202">
        <v>12</v>
      </c>
      <c r="M691" s="185">
        <f t="shared" si="164"/>
        <v>1</v>
      </c>
      <c r="N691" s="193" t="s">
        <v>36</v>
      </c>
      <c r="O691" s="194" t="s">
        <v>256</v>
      </c>
      <c r="P691" s="211">
        <f t="shared" si="169"/>
        <v>1</v>
      </c>
      <c r="Q691" s="196">
        <f t="shared" si="162"/>
        <v>147071700</v>
      </c>
      <c r="R691" s="196">
        <f t="shared" si="163"/>
        <v>147071700</v>
      </c>
      <c r="S691" s="201" t="s">
        <v>217</v>
      </c>
      <c r="T691" s="211">
        <f t="shared" si="166"/>
        <v>0</v>
      </c>
      <c r="U691" s="198" t="str">
        <f t="shared" si="165"/>
        <v>SUBDIRECCION DE GESTION CONTRACTUAL</v>
      </c>
      <c r="V691" s="211" t="str">
        <f t="shared" si="167"/>
        <v>CO-DC</v>
      </c>
      <c r="W691" s="211" t="str">
        <f t="shared" si="168"/>
        <v>Distrito Capital de Bogotá</v>
      </c>
      <c r="X691" s="209" t="s">
        <v>512</v>
      </c>
      <c r="Y691" s="202">
        <v>2427400</v>
      </c>
      <c r="Z691" s="212" t="s">
        <v>154</v>
      </c>
      <c r="AA691" s="134"/>
      <c r="AB691" s="134"/>
      <c r="AC691" s="134"/>
      <c r="AD691" s="134"/>
      <c r="AE691" s="134"/>
      <c r="AF691" s="134"/>
      <c r="AG691" s="134"/>
      <c r="AH691" s="134"/>
      <c r="AI691" s="134"/>
      <c r="AJ691" s="134"/>
      <c r="AK691" s="134"/>
      <c r="AL691" s="134"/>
      <c r="AM691" s="134"/>
      <c r="AN691" s="134"/>
      <c r="AO691" s="134"/>
      <c r="AP691" s="134"/>
      <c r="AQ691" s="134"/>
      <c r="AR691" s="134"/>
      <c r="AS691" s="134"/>
      <c r="AT691" s="134"/>
      <c r="AU691" s="132"/>
      <c r="AV691" s="132"/>
      <c r="AW691" s="132"/>
      <c r="AX691" s="132"/>
      <c r="AY691" s="132"/>
      <c r="AZ691" s="132"/>
      <c r="BA691" s="132"/>
      <c r="BB691" s="132"/>
      <c r="BC691" s="132"/>
      <c r="BD691" s="132"/>
      <c r="BE691" s="132"/>
      <c r="BF691" s="132"/>
      <c r="BG691" s="132"/>
      <c r="BH691" s="132"/>
      <c r="BI691" s="132"/>
      <c r="BJ691" s="132"/>
      <c r="BK691" s="132"/>
      <c r="BL691" s="132"/>
      <c r="BM691" s="132"/>
      <c r="BN691" s="132"/>
      <c r="BO691" s="132"/>
      <c r="BP691" s="132"/>
      <c r="BQ691" s="132"/>
      <c r="BR691" s="132"/>
      <c r="BS691" s="132"/>
      <c r="BT691" s="132"/>
      <c r="BU691" s="132"/>
      <c r="BV691" s="132"/>
      <c r="BW691" s="132"/>
      <c r="BX691" s="132"/>
      <c r="BY691" s="132"/>
      <c r="BZ691" s="132"/>
      <c r="CA691" s="132"/>
      <c r="CB691" s="132"/>
      <c r="CC691" s="132"/>
      <c r="CD691" s="132"/>
      <c r="CE691" s="132"/>
      <c r="CF691" s="132"/>
      <c r="CG691" s="140"/>
    </row>
    <row r="692" spans="1:85" s="139" customFormat="1" ht="13.9" customHeight="1" x14ac:dyDescent="0.2">
      <c r="A692" s="208" t="s">
        <v>152</v>
      </c>
      <c r="B692" s="202">
        <v>38</v>
      </c>
      <c r="C692" s="203" t="s">
        <v>538</v>
      </c>
      <c r="D692" s="209" t="s">
        <v>153</v>
      </c>
      <c r="E692" s="210"/>
      <c r="F692" s="210">
        <v>147071700</v>
      </c>
      <c r="G692" s="210"/>
      <c r="H692" s="209" t="s">
        <v>703</v>
      </c>
      <c r="I692" s="203" t="s">
        <v>656</v>
      </c>
      <c r="J692" s="202">
        <v>1</v>
      </c>
      <c r="K692" s="202">
        <v>1</v>
      </c>
      <c r="L692" s="202">
        <v>12</v>
      </c>
      <c r="M692" s="185">
        <f t="shared" si="164"/>
        <v>1</v>
      </c>
      <c r="N692" s="193" t="s">
        <v>36</v>
      </c>
      <c r="O692" s="194" t="s">
        <v>256</v>
      </c>
      <c r="P692" s="211">
        <f t="shared" si="169"/>
        <v>1</v>
      </c>
      <c r="Q692" s="196">
        <f t="shared" si="162"/>
        <v>147071700</v>
      </c>
      <c r="R692" s="196">
        <f t="shared" si="163"/>
        <v>147071700</v>
      </c>
      <c r="S692" s="201" t="s">
        <v>217</v>
      </c>
      <c r="T692" s="211">
        <f t="shared" si="166"/>
        <v>0</v>
      </c>
      <c r="U692" s="198" t="str">
        <f t="shared" si="165"/>
        <v>SUBDIRECCION DE GESTION CONTRACTUAL</v>
      </c>
      <c r="V692" s="211" t="str">
        <f t="shared" si="167"/>
        <v>CO-DC</v>
      </c>
      <c r="W692" s="211" t="str">
        <f t="shared" si="168"/>
        <v>Distrito Capital de Bogotá</v>
      </c>
      <c r="X692" s="209" t="s">
        <v>512</v>
      </c>
      <c r="Y692" s="202">
        <v>2427400</v>
      </c>
      <c r="Z692" s="212" t="s">
        <v>154</v>
      </c>
      <c r="AA692" s="134"/>
      <c r="AB692" s="134"/>
      <c r="AC692" s="134"/>
      <c r="AD692" s="134"/>
      <c r="AE692" s="134"/>
      <c r="AF692" s="134"/>
      <c r="AG692" s="134"/>
      <c r="AH692" s="134"/>
      <c r="AI692" s="134"/>
      <c r="AJ692" s="134"/>
      <c r="AK692" s="134"/>
      <c r="AL692" s="134"/>
      <c r="AM692" s="134"/>
      <c r="AN692" s="134"/>
      <c r="AO692" s="134"/>
      <c r="AP692" s="134"/>
      <c r="AQ692" s="134"/>
      <c r="AR692" s="134"/>
      <c r="AS692" s="134"/>
      <c r="AT692" s="134"/>
      <c r="AU692" s="132"/>
      <c r="AV692" s="132"/>
      <c r="AW692" s="132"/>
      <c r="AX692" s="132"/>
      <c r="AY692" s="132"/>
      <c r="AZ692" s="132"/>
      <c r="BA692" s="132"/>
      <c r="BB692" s="132"/>
      <c r="BC692" s="132"/>
      <c r="BD692" s="132"/>
      <c r="BE692" s="132"/>
      <c r="BF692" s="132"/>
      <c r="BG692" s="132"/>
      <c r="BH692" s="132"/>
      <c r="BI692" s="132"/>
      <c r="BJ692" s="132"/>
      <c r="BK692" s="132"/>
      <c r="BL692" s="132"/>
      <c r="BM692" s="132"/>
      <c r="BN692" s="132"/>
      <c r="BO692" s="132"/>
      <c r="BP692" s="132"/>
      <c r="BQ692" s="132"/>
      <c r="BR692" s="132"/>
      <c r="BS692" s="132"/>
      <c r="BT692" s="132"/>
      <c r="BU692" s="132"/>
      <c r="BV692" s="132"/>
      <c r="BW692" s="132"/>
      <c r="BX692" s="132"/>
      <c r="BY692" s="132"/>
      <c r="BZ692" s="132"/>
      <c r="CA692" s="132"/>
      <c r="CB692" s="132"/>
      <c r="CC692" s="132"/>
      <c r="CD692" s="132"/>
      <c r="CE692" s="132"/>
      <c r="CF692" s="132"/>
      <c r="CG692" s="140"/>
    </row>
    <row r="693" spans="1:85" s="139" customFormat="1" ht="13.9" customHeight="1" x14ac:dyDescent="0.2">
      <c r="A693" s="208" t="s">
        <v>152</v>
      </c>
      <c r="B693" s="202">
        <v>39</v>
      </c>
      <c r="C693" s="203" t="s">
        <v>538</v>
      </c>
      <c r="D693" s="209" t="s">
        <v>153</v>
      </c>
      <c r="E693" s="210"/>
      <c r="F693" s="210">
        <v>4716328480</v>
      </c>
      <c r="G693" s="210"/>
      <c r="H693" s="209" t="s">
        <v>707</v>
      </c>
      <c r="I693" s="203" t="s">
        <v>657</v>
      </c>
      <c r="J693" s="202">
        <v>1</v>
      </c>
      <c r="K693" s="202">
        <v>1</v>
      </c>
      <c r="L693" s="202">
        <v>12</v>
      </c>
      <c r="M693" s="185">
        <f t="shared" si="164"/>
        <v>1</v>
      </c>
      <c r="N693" s="193" t="s">
        <v>36</v>
      </c>
      <c r="O693" s="194" t="s">
        <v>256</v>
      </c>
      <c r="P693" s="211">
        <f t="shared" si="169"/>
        <v>1</v>
      </c>
      <c r="Q693" s="196">
        <f t="shared" si="162"/>
        <v>4716328480</v>
      </c>
      <c r="R693" s="196">
        <f t="shared" si="163"/>
        <v>4716328480</v>
      </c>
      <c r="S693" s="201" t="s">
        <v>217</v>
      </c>
      <c r="T693" s="211">
        <f t="shared" si="166"/>
        <v>0</v>
      </c>
      <c r="U693" s="198" t="str">
        <f t="shared" si="165"/>
        <v>SUBDIRECCION DE GESTION CONTRACTUAL</v>
      </c>
      <c r="V693" s="211" t="str">
        <f t="shared" si="167"/>
        <v>CO-DC</v>
      </c>
      <c r="W693" s="211" t="str">
        <f t="shared" si="168"/>
        <v>Distrito Capital de Bogotá</v>
      </c>
      <c r="X693" s="209" t="s">
        <v>512</v>
      </c>
      <c r="Y693" s="202">
        <v>2427400</v>
      </c>
      <c r="Z693" s="212" t="s">
        <v>154</v>
      </c>
      <c r="AA693" s="134"/>
      <c r="AB693" s="134"/>
      <c r="AC693" s="134"/>
      <c r="AD693" s="134"/>
      <c r="AE693" s="134"/>
      <c r="AF693" s="134"/>
      <c r="AG693" s="134"/>
      <c r="AH693" s="134"/>
      <c r="AI693" s="134"/>
      <c r="AJ693" s="134"/>
      <c r="AK693" s="134"/>
      <c r="AL693" s="134"/>
      <c r="AM693" s="134"/>
      <c r="AN693" s="134"/>
      <c r="AO693" s="134"/>
      <c r="AP693" s="134"/>
      <c r="AQ693" s="134"/>
      <c r="AR693" s="134"/>
      <c r="AS693" s="134"/>
      <c r="AT693" s="134"/>
      <c r="AU693" s="132"/>
      <c r="AV693" s="132"/>
      <c r="AW693" s="132"/>
      <c r="AX693" s="132"/>
      <c r="AY693" s="132"/>
      <c r="AZ693" s="132"/>
      <c r="BA693" s="132"/>
      <c r="BB693" s="132"/>
      <c r="BC693" s="132"/>
      <c r="BD693" s="132"/>
      <c r="BE693" s="132"/>
      <c r="BF693" s="132"/>
      <c r="BG693" s="132"/>
      <c r="BH693" s="132"/>
      <c r="BI693" s="132"/>
      <c r="BJ693" s="132"/>
      <c r="BK693" s="132"/>
      <c r="BL693" s="132"/>
      <c r="BM693" s="132"/>
      <c r="BN693" s="132"/>
      <c r="BO693" s="132"/>
      <c r="BP693" s="132"/>
      <c r="BQ693" s="132"/>
      <c r="BR693" s="132"/>
      <c r="BS693" s="132"/>
      <c r="BT693" s="132"/>
      <c r="BU693" s="132"/>
      <c r="BV693" s="132"/>
      <c r="BW693" s="132"/>
      <c r="BX693" s="132"/>
      <c r="BY693" s="132"/>
      <c r="BZ693" s="132"/>
      <c r="CA693" s="132"/>
      <c r="CB693" s="132"/>
      <c r="CC693" s="132"/>
      <c r="CD693" s="132"/>
      <c r="CE693" s="132"/>
      <c r="CF693" s="132"/>
      <c r="CG693" s="140"/>
    </row>
    <row r="694" spans="1:85" s="139" customFormat="1" ht="13.9" customHeight="1" x14ac:dyDescent="0.2">
      <c r="A694" s="208" t="s">
        <v>152</v>
      </c>
      <c r="B694" s="202">
        <v>40</v>
      </c>
      <c r="C694" s="203" t="s">
        <v>538</v>
      </c>
      <c r="D694" s="209" t="s">
        <v>153</v>
      </c>
      <c r="E694" s="210"/>
      <c r="F694" s="210">
        <v>1025000000</v>
      </c>
      <c r="G694" s="210"/>
      <c r="H694" s="209" t="s">
        <v>703</v>
      </c>
      <c r="I694" s="203" t="s">
        <v>658</v>
      </c>
      <c r="J694" s="202">
        <v>1</v>
      </c>
      <c r="K694" s="202">
        <v>1</v>
      </c>
      <c r="L694" s="202">
        <v>12</v>
      </c>
      <c r="M694" s="185">
        <f t="shared" si="164"/>
        <v>1</v>
      </c>
      <c r="N694" s="193" t="s">
        <v>36</v>
      </c>
      <c r="O694" s="194" t="s">
        <v>256</v>
      </c>
      <c r="P694" s="211">
        <f t="shared" si="169"/>
        <v>1</v>
      </c>
      <c r="Q694" s="196">
        <f t="shared" si="162"/>
        <v>1025000000</v>
      </c>
      <c r="R694" s="196">
        <f t="shared" si="163"/>
        <v>1025000000</v>
      </c>
      <c r="S694" s="201" t="s">
        <v>217</v>
      </c>
      <c r="T694" s="211">
        <f t="shared" si="166"/>
        <v>0</v>
      </c>
      <c r="U694" s="198" t="str">
        <f t="shared" si="165"/>
        <v>SUBDIRECCION DE GESTION CONTRACTUAL</v>
      </c>
      <c r="V694" s="211" t="str">
        <f t="shared" si="167"/>
        <v>CO-DC</v>
      </c>
      <c r="W694" s="211" t="str">
        <f t="shared" si="168"/>
        <v>Distrito Capital de Bogotá</v>
      </c>
      <c r="X694" s="209" t="s">
        <v>512</v>
      </c>
      <c r="Y694" s="202">
        <v>2427400</v>
      </c>
      <c r="Z694" s="212" t="s">
        <v>154</v>
      </c>
      <c r="AA694" s="134"/>
      <c r="AB694" s="134"/>
      <c r="AC694" s="134"/>
      <c r="AD694" s="134"/>
      <c r="AE694" s="134"/>
      <c r="AF694" s="134"/>
      <c r="AG694" s="134"/>
      <c r="AH694" s="134"/>
      <c r="AI694" s="134"/>
      <c r="AJ694" s="134"/>
      <c r="AK694" s="134"/>
      <c r="AL694" s="134"/>
      <c r="AM694" s="134"/>
      <c r="AN694" s="134"/>
      <c r="AO694" s="134"/>
      <c r="AP694" s="134"/>
      <c r="AQ694" s="134"/>
      <c r="AR694" s="134"/>
      <c r="AS694" s="134"/>
      <c r="AT694" s="134"/>
      <c r="AU694" s="132"/>
      <c r="AV694" s="132"/>
      <c r="AW694" s="132"/>
      <c r="AX694" s="132"/>
      <c r="AY694" s="132"/>
      <c r="AZ694" s="132"/>
      <c r="BA694" s="132"/>
      <c r="BB694" s="132"/>
      <c r="BC694" s="132"/>
      <c r="BD694" s="132"/>
      <c r="BE694" s="132"/>
      <c r="BF694" s="132"/>
      <c r="BG694" s="132"/>
      <c r="BH694" s="132"/>
      <c r="BI694" s="132"/>
      <c r="BJ694" s="132"/>
      <c r="BK694" s="132"/>
      <c r="BL694" s="132"/>
      <c r="BM694" s="132"/>
      <c r="BN694" s="132"/>
      <c r="BO694" s="132"/>
      <c r="BP694" s="132"/>
      <c r="BQ694" s="132"/>
      <c r="BR694" s="132"/>
      <c r="BS694" s="132"/>
      <c r="BT694" s="132"/>
      <c r="BU694" s="132"/>
      <c r="BV694" s="132"/>
      <c r="BW694" s="132"/>
      <c r="BX694" s="132"/>
      <c r="BY694" s="132"/>
      <c r="BZ694" s="132"/>
      <c r="CA694" s="132"/>
      <c r="CB694" s="132"/>
      <c r="CC694" s="132"/>
      <c r="CD694" s="132"/>
      <c r="CE694" s="132"/>
      <c r="CF694" s="132"/>
      <c r="CG694" s="140"/>
    </row>
    <row r="695" spans="1:85" s="139" customFormat="1" ht="13.9" customHeight="1" x14ac:dyDescent="0.2">
      <c r="A695" s="208" t="s">
        <v>152</v>
      </c>
      <c r="B695" s="202">
        <v>41</v>
      </c>
      <c r="C695" s="203" t="s">
        <v>538</v>
      </c>
      <c r="D695" s="209" t="s">
        <v>153</v>
      </c>
      <c r="E695" s="210"/>
      <c r="F695" s="210">
        <v>514750950</v>
      </c>
      <c r="G695" s="210"/>
      <c r="H695" s="209" t="s">
        <v>703</v>
      </c>
      <c r="I695" s="203" t="s">
        <v>659</v>
      </c>
      <c r="J695" s="202">
        <v>1</v>
      </c>
      <c r="K695" s="202">
        <v>1</v>
      </c>
      <c r="L695" s="202">
        <v>12</v>
      </c>
      <c r="M695" s="185">
        <f t="shared" si="164"/>
        <v>1</v>
      </c>
      <c r="N695" s="193" t="s">
        <v>36</v>
      </c>
      <c r="O695" s="194" t="s">
        <v>256</v>
      </c>
      <c r="P695" s="211">
        <f t="shared" si="169"/>
        <v>1</v>
      </c>
      <c r="Q695" s="196">
        <f t="shared" si="162"/>
        <v>514750950</v>
      </c>
      <c r="R695" s="196">
        <f t="shared" si="163"/>
        <v>514750950</v>
      </c>
      <c r="S695" s="201" t="s">
        <v>217</v>
      </c>
      <c r="T695" s="211">
        <f t="shared" si="166"/>
        <v>0</v>
      </c>
      <c r="U695" s="198" t="str">
        <f t="shared" si="165"/>
        <v>SUBDIRECCION DE GESTION CONTRACTUAL</v>
      </c>
      <c r="V695" s="211" t="str">
        <f t="shared" si="167"/>
        <v>CO-DC</v>
      </c>
      <c r="W695" s="211" t="str">
        <f t="shared" si="168"/>
        <v>Distrito Capital de Bogotá</v>
      </c>
      <c r="X695" s="209" t="s">
        <v>512</v>
      </c>
      <c r="Y695" s="202">
        <v>2427400</v>
      </c>
      <c r="Z695" s="212" t="s">
        <v>154</v>
      </c>
      <c r="AA695" s="134"/>
      <c r="AB695" s="134"/>
      <c r="AC695" s="134"/>
      <c r="AD695" s="134"/>
      <c r="AE695" s="134"/>
      <c r="AF695" s="134"/>
      <c r="AG695" s="134"/>
      <c r="AH695" s="134"/>
      <c r="AI695" s="134"/>
      <c r="AJ695" s="134"/>
      <c r="AK695" s="134"/>
      <c r="AL695" s="134"/>
      <c r="AM695" s="134"/>
      <c r="AN695" s="134"/>
      <c r="AO695" s="134"/>
      <c r="AP695" s="134"/>
      <c r="AQ695" s="134"/>
      <c r="AR695" s="134"/>
      <c r="AS695" s="134"/>
      <c r="AT695" s="134"/>
      <c r="AU695" s="132"/>
      <c r="AV695" s="132"/>
      <c r="AW695" s="132"/>
      <c r="AX695" s="132"/>
      <c r="AY695" s="132"/>
      <c r="AZ695" s="132"/>
      <c r="BA695" s="132"/>
      <c r="BB695" s="132"/>
      <c r="BC695" s="132"/>
      <c r="BD695" s="132"/>
      <c r="BE695" s="132"/>
      <c r="BF695" s="132"/>
      <c r="BG695" s="132"/>
      <c r="BH695" s="132"/>
      <c r="BI695" s="132"/>
      <c r="BJ695" s="132"/>
      <c r="BK695" s="132"/>
      <c r="BL695" s="132"/>
      <c r="BM695" s="132"/>
      <c r="BN695" s="132"/>
      <c r="BO695" s="132"/>
      <c r="BP695" s="132"/>
      <c r="BQ695" s="132"/>
      <c r="BR695" s="132"/>
      <c r="BS695" s="132"/>
      <c r="BT695" s="132"/>
      <c r="BU695" s="132"/>
      <c r="BV695" s="132"/>
      <c r="BW695" s="132"/>
      <c r="BX695" s="132"/>
      <c r="BY695" s="132"/>
      <c r="BZ695" s="132"/>
      <c r="CA695" s="132"/>
      <c r="CB695" s="132"/>
      <c r="CC695" s="132"/>
      <c r="CD695" s="132"/>
      <c r="CE695" s="132"/>
      <c r="CF695" s="132"/>
      <c r="CG695" s="140"/>
    </row>
    <row r="696" spans="1:85" s="139" customFormat="1" ht="13.9" customHeight="1" x14ac:dyDescent="0.2">
      <c r="A696" s="208" t="s">
        <v>152</v>
      </c>
      <c r="B696" s="202">
        <v>42</v>
      </c>
      <c r="C696" s="203" t="s">
        <v>538</v>
      </c>
      <c r="D696" s="209" t="s">
        <v>153</v>
      </c>
      <c r="E696" s="210"/>
      <c r="F696" s="210">
        <v>1101245901</v>
      </c>
      <c r="G696" s="210"/>
      <c r="H696" s="209" t="s">
        <v>703</v>
      </c>
      <c r="I696" s="203" t="s">
        <v>660</v>
      </c>
      <c r="J696" s="202">
        <v>1</v>
      </c>
      <c r="K696" s="202">
        <v>1</v>
      </c>
      <c r="L696" s="202">
        <v>12</v>
      </c>
      <c r="M696" s="185">
        <f t="shared" si="164"/>
        <v>1</v>
      </c>
      <c r="N696" s="193" t="s">
        <v>36</v>
      </c>
      <c r="O696" s="194" t="s">
        <v>256</v>
      </c>
      <c r="P696" s="211">
        <f t="shared" si="169"/>
        <v>1</v>
      </c>
      <c r="Q696" s="196">
        <f t="shared" si="162"/>
        <v>1101245901</v>
      </c>
      <c r="R696" s="196">
        <f t="shared" si="163"/>
        <v>1101245901</v>
      </c>
      <c r="S696" s="201" t="s">
        <v>217</v>
      </c>
      <c r="T696" s="211">
        <f t="shared" si="166"/>
        <v>0</v>
      </c>
      <c r="U696" s="198" t="str">
        <f t="shared" si="165"/>
        <v>SUBDIRECCION DE GESTION CONTRACTUAL</v>
      </c>
      <c r="V696" s="211" t="str">
        <f t="shared" si="167"/>
        <v>CO-DC</v>
      </c>
      <c r="W696" s="211" t="str">
        <f t="shared" si="168"/>
        <v>Distrito Capital de Bogotá</v>
      </c>
      <c r="X696" s="209" t="s">
        <v>512</v>
      </c>
      <c r="Y696" s="202">
        <v>2427400</v>
      </c>
      <c r="Z696" s="212" t="s">
        <v>154</v>
      </c>
      <c r="AA696" s="134"/>
      <c r="AB696" s="134"/>
      <c r="AC696" s="134"/>
      <c r="AD696" s="134"/>
      <c r="AE696" s="134"/>
      <c r="AF696" s="134"/>
      <c r="AG696" s="134"/>
      <c r="AH696" s="134"/>
      <c r="AI696" s="134"/>
      <c r="AJ696" s="134"/>
      <c r="AK696" s="134"/>
      <c r="AL696" s="134"/>
      <c r="AM696" s="134"/>
      <c r="AN696" s="134"/>
      <c r="AO696" s="134"/>
      <c r="AP696" s="134"/>
      <c r="AQ696" s="134"/>
      <c r="AR696" s="134"/>
      <c r="AS696" s="134"/>
      <c r="AT696" s="134"/>
      <c r="AU696" s="132"/>
      <c r="AV696" s="132"/>
      <c r="AW696" s="132"/>
      <c r="AX696" s="132"/>
      <c r="AY696" s="132"/>
      <c r="AZ696" s="132"/>
      <c r="BA696" s="132"/>
      <c r="BB696" s="132"/>
      <c r="BC696" s="132"/>
      <c r="BD696" s="132"/>
      <c r="BE696" s="132"/>
      <c r="BF696" s="132"/>
      <c r="BG696" s="132"/>
      <c r="BH696" s="132"/>
      <c r="BI696" s="132"/>
      <c r="BJ696" s="132"/>
      <c r="BK696" s="132"/>
      <c r="BL696" s="132"/>
      <c r="BM696" s="132"/>
      <c r="BN696" s="132"/>
      <c r="BO696" s="132"/>
      <c r="BP696" s="132"/>
      <c r="BQ696" s="132"/>
      <c r="BR696" s="132"/>
      <c r="BS696" s="132"/>
      <c r="BT696" s="132"/>
      <c r="BU696" s="132"/>
      <c r="BV696" s="132"/>
      <c r="BW696" s="132"/>
      <c r="BX696" s="132"/>
      <c r="BY696" s="132"/>
      <c r="BZ696" s="132"/>
      <c r="CA696" s="132"/>
      <c r="CB696" s="132"/>
      <c r="CC696" s="132"/>
      <c r="CD696" s="132"/>
      <c r="CE696" s="132"/>
      <c r="CF696" s="132"/>
      <c r="CG696" s="140"/>
    </row>
    <row r="697" spans="1:85" s="139" customFormat="1" ht="13.9" customHeight="1" x14ac:dyDescent="0.2">
      <c r="A697" s="208" t="s">
        <v>152</v>
      </c>
      <c r="B697" s="202">
        <v>43</v>
      </c>
      <c r="C697" s="203" t="s">
        <v>538</v>
      </c>
      <c r="D697" s="209" t="s">
        <v>153</v>
      </c>
      <c r="E697" s="210"/>
      <c r="F697" s="210">
        <v>727303040</v>
      </c>
      <c r="G697" s="210"/>
      <c r="H697" s="209" t="s">
        <v>703</v>
      </c>
      <c r="I697" s="203" t="s">
        <v>661</v>
      </c>
      <c r="J697" s="202">
        <v>1</v>
      </c>
      <c r="K697" s="202">
        <v>1</v>
      </c>
      <c r="L697" s="202">
        <v>12</v>
      </c>
      <c r="M697" s="185">
        <f t="shared" si="164"/>
        <v>1</v>
      </c>
      <c r="N697" s="193" t="s">
        <v>36</v>
      </c>
      <c r="O697" s="194" t="s">
        <v>256</v>
      </c>
      <c r="P697" s="211">
        <f t="shared" si="169"/>
        <v>1</v>
      </c>
      <c r="Q697" s="196">
        <f t="shared" si="162"/>
        <v>727303040</v>
      </c>
      <c r="R697" s="196">
        <f t="shared" si="163"/>
        <v>727303040</v>
      </c>
      <c r="S697" s="201" t="s">
        <v>217</v>
      </c>
      <c r="T697" s="211">
        <f t="shared" si="166"/>
        <v>0</v>
      </c>
      <c r="U697" s="198" t="str">
        <f t="shared" si="165"/>
        <v>SUBDIRECCION DE GESTION CONTRACTUAL</v>
      </c>
      <c r="V697" s="211" t="str">
        <f t="shared" si="167"/>
        <v>CO-DC</v>
      </c>
      <c r="W697" s="211" t="str">
        <f t="shared" si="168"/>
        <v>Distrito Capital de Bogotá</v>
      </c>
      <c r="X697" s="209" t="s">
        <v>512</v>
      </c>
      <c r="Y697" s="202">
        <v>2427400</v>
      </c>
      <c r="Z697" s="212" t="s">
        <v>154</v>
      </c>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2"/>
      <c r="AV697" s="132"/>
      <c r="AW697" s="132"/>
      <c r="AX697" s="132"/>
      <c r="AY697" s="132"/>
      <c r="AZ697" s="132"/>
      <c r="BA697" s="132"/>
      <c r="BB697" s="132"/>
      <c r="BC697" s="132"/>
      <c r="BD697" s="132"/>
      <c r="BE697" s="132"/>
      <c r="BF697" s="132"/>
      <c r="BG697" s="132"/>
      <c r="BH697" s="132"/>
      <c r="BI697" s="132"/>
      <c r="BJ697" s="132"/>
      <c r="BK697" s="132"/>
      <c r="BL697" s="132"/>
      <c r="BM697" s="132"/>
      <c r="BN697" s="132"/>
      <c r="BO697" s="132"/>
      <c r="BP697" s="132"/>
      <c r="BQ697" s="132"/>
      <c r="BR697" s="132"/>
      <c r="BS697" s="132"/>
      <c r="BT697" s="132"/>
      <c r="BU697" s="132"/>
      <c r="BV697" s="132"/>
      <c r="BW697" s="132"/>
      <c r="BX697" s="132"/>
      <c r="BY697" s="132"/>
      <c r="BZ697" s="132"/>
      <c r="CA697" s="132"/>
      <c r="CB697" s="132"/>
      <c r="CC697" s="132"/>
      <c r="CD697" s="132"/>
      <c r="CE697" s="132"/>
      <c r="CF697" s="132"/>
      <c r="CG697" s="140"/>
    </row>
    <row r="698" spans="1:85" s="139" customFormat="1" ht="13.9" customHeight="1" x14ac:dyDescent="0.2">
      <c r="A698" s="208" t="s">
        <v>152</v>
      </c>
      <c r="B698" s="202">
        <v>44</v>
      </c>
      <c r="C698" s="203" t="s">
        <v>538</v>
      </c>
      <c r="D698" s="209" t="s">
        <v>153</v>
      </c>
      <c r="E698" s="210"/>
      <c r="F698" s="210">
        <v>205000000</v>
      </c>
      <c r="G698" s="210"/>
      <c r="H698" s="209" t="s">
        <v>703</v>
      </c>
      <c r="I698" s="203" t="s">
        <v>663</v>
      </c>
      <c r="J698" s="202">
        <v>1</v>
      </c>
      <c r="K698" s="202">
        <v>1</v>
      </c>
      <c r="L698" s="202">
        <v>12</v>
      </c>
      <c r="M698" s="185">
        <f t="shared" si="164"/>
        <v>1</v>
      </c>
      <c r="N698" s="193" t="s">
        <v>36</v>
      </c>
      <c r="O698" s="194" t="s">
        <v>256</v>
      </c>
      <c r="P698" s="211">
        <f t="shared" si="169"/>
        <v>1</v>
      </c>
      <c r="Q698" s="196">
        <f t="shared" si="162"/>
        <v>205000000</v>
      </c>
      <c r="R698" s="196">
        <f t="shared" si="163"/>
        <v>205000000</v>
      </c>
      <c r="S698" s="201" t="s">
        <v>217</v>
      </c>
      <c r="T698" s="211">
        <f t="shared" si="166"/>
        <v>0</v>
      </c>
      <c r="U698" s="198" t="str">
        <f t="shared" si="165"/>
        <v>SUBDIRECCION DE GESTION CONTRACTUAL</v>
      </c>
      <c r="V698" s="211" t="str">
        <f t="shared" si="167"/>
        <v>CO-DC</v>
      </c>
      <c r="W698" s="211" t="str">
        <f t="shared" si="168"/>
        <v>Distrito Capital de Bogotá</v>
      </c>
      <c r="X698" s="209" t="s">
        <v>512</v>
      </c>
      <c r="Y698" s="202">
        <v>2427400</v>
      </c>
      <c r="Z698" s="212" t="s">
        <v>154</v>
      </c>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2"/>
      <c r="AV698" s="132"/>
      <c r="AW698" s="132"/>
      <c r="AX698" s="132"/>
      <c r="AY698" s="132"/>
      <c r="AZ698" s="132"/>
      <c r="BA698" s="132"/>
      <c r="BB698" s="132"/>
      <c r="BC698" s="132"/>
      <c r="BD698" s="132"/>
      <c r="BE698" s="132"/>
      <c r="BF698" s="132"/>
      <c r="BG698" s="132"/>
      <c r="BH698" s="132"/>
      <c r="BI698" s="132"/>
      <c r="BJ698" s="132"/>
      <c r="BK698" s="132"/>
      <c r="BL698" s="132"/>
      <c r="BM698" s="132"/>
      <c r="BN698" s="132"/>
      <c r="BO698" s="132"/>
      <c r="BP698" s="132"/>
      <c r="BQ698" s="132"/>
      <c r="BR698" s="132"/>
      <c r="BS698" s="132"/>
      <c r="BT698" s="132"/>
      <c r="BU698" s="132"/>
      <c r="BV698" s="132"/>
      <c r="BW698" s="132"/>
      <c r="BX698" s="132"/>
      <c r="BY698" s="132"/>
      <c r="BZ698" s="132"/>
      <c r="CA698" s="132"/>
      <c r="CB698" s="132"/>
      <c r="CC698" s="132"/>
      <c r="CD698" s="132"/>
      <c r="CE698" s="132"/>
      <c r="CF698" s="132"/>
      <c r="CG698" s="140"/>
    </row>
    <row r="699" spans="1:85" s="139" customFormat="1" ht="13.9" customHeight="1" x14ac:dyDescent="0.2">
      <c r="A699" s="208" t="s">
        <v>152</v>
      </c>
      <c r="B699" s="202">
        <v>45</v>
      </c>
      <c r="C699" s="203" t="s">
        <v>538</v>
      </c>
      <c r="D699" s="209" t="s">
        <v>153</v>
      </c>
      <c r="E699" s="210"/>
      <c r="F699" s="210">
        <v>962792662</v>
      </c>
      <c r="G699" s="210"/>
      <c r="H699" s="209" t="s">
        <v>707</v>
      </c>
      <c r="I699" s="203" t="s">
        <v>662</v>
      </c>
      <c r="J699" s="202">
        <v>1</v>
      </c>
      <c r="K699" s="202">
        <v>1</v>
      </c>
      <c r="L699" s="202">
        <v>12</v>
      </c>
      <c r="M699" s="185">
        <f t="shared" si="164"/>
        <v>1</v>
      </c>
      <c r="N699" s="193" t="s">
        <v>36</v>
      </c>
      <c r="O699" s="194" t="s">
        <v>256</v>
      </c>
      <c r="P699" s="211">
        <f t="shared" si="169"/>
        <v>1</v>
      </c>
      <c r="Q699" s="196">
        <f t="shared" si="162"/>
        <v>962792662</v>
      </c>
      <c r="R699" s="196">
        <f t="shared" si="163"/>
        <v>962792662</v>
      </c>
      <c r="S699" s="201" t="s">
        <v>217</v>
      </c>
      <c r="T699" s="211">
        <f t="shared" si="166"/>
        <v>0</v>
      </c>
      <c r="U699" s="198" t="str">
        <f t="shared" si="165"/>
        <v>SUBDIRECCION DE GESTION CONTRACTUAL</v>
      </c>
      <c r="V699" s="211" t="str">
        <f t="shared" si="167"/>
        <v>CO-DC</v>
      </c>
      <c r="W699" s="211" t="str">
        <f t="shared" si="168"/>
        <v>Distrito Capital de Bogotá</v>
      </c>
      <c r="X699" s="209" t="s">
        <v>512</v>
      </c>
      <c r="Y699" s="202">
        <v>2427400</v>
      </c>
      <c r="Z699" s="212" t="s">
        <v>154</v>
      </c>
      <c r="AA699" s="134"/>
      <c r="AB699" s="134"/>
      <c r="AC699" s="134"/>
      <c r="AD699" s="134"/>
      <c r="AE699" s="134"/>
      <c r="AF699" s="134"/>
      <c r="AG699" s="134"/>
      <c r="AH699" s="134"/>
      <c r="AI699" s="134"/>
      <c r="AJ699" s="134"/>
      <c r="AK699" s="134"/>
      <c r="AL699" s="134"/>
      <c r="AM699" s="134"/>
      <c r="AN699" s="134"/>
      <c r="AO699" s="134"/>
      <c r="AP699" s="134"/>
      <c r="AQ699" s="134"/>
      <c r="AR699" s="134"/>
      <c r="AS699" s="134"/>
      <c r="AT699" s="134"/>
      <c r="AU699" s="132"/>
      <c r="AV699" s="132"/>
      <c r="AW699" s="132"/>
      <c r="AX699" s="132"/>
      <c r="AY699" s="132"/>
      <c r="AZ699" s="132"/>
      <c r="BA699" s="132"/>
      <c r="BB699" s="132"/>
      <c r="BC699" s="132"/>
      <c r="BD699" s="132"/>
      <c r="BE699" s="132"/>
      <c r="BF699" s="132"/>
      <c r="BG699" s="132"/>
      <c r="BH699" s="132"/>
      <c r="BI699" s="132"/>
      <c r="BJ699" s="132"/>
      <c r="BK699" s="132"/>
      <c r="BL699" s="132"/>
      <c r="BM699" s="132"/>
      <c r="BN699" s="132"/>
      <c r="BO699" s="132"/>
      <c r="BP699" s="132"/>
      <c r="BQ699" s="132"/>
      <c r="BR699" s="132"/>
      <c r="BS699" s="132"/>
      <c r="BT699" s="132"/>
      <c r="BU699" s="132"/>
      <c r="BV699" s="132"/>
      <c r="BW699" s="132"/>
      <c r="BX699" s="132"/>
      <c r="BY699" s="132"/>
      <c r="BZ699" s="132"/>
      <c r="CA699" s="132"/>
      <c r="CB699" s="132"/>
      <c r="CC699" s="132"/>
      <c r="CD699" s="132"/>
      <c r="CE699" s="132"/>
      <c r="CF699" s="132"/>
      <c r="CG699" s="140"/>
    </row>
    <row r="700" spans="1:85" s="139" customFormat="1" ht="13.9" customHeight="1" x14ac:dyDescent="0.2">
      <c r="A700" s="208" t="s">
        <v>152</v>
      </c>
      <c r="B700" s="202">
        <v>46</v>
      </c>
      <c r="C700" s="203" t="s">
        <v>538</v>
      </c>
      <c r="D700" s="209" t="s">
        <v>153</v>
      </c>
      <c r="E700" s="210"/>
      <c r="F700" s="210">
        <v>725303040</v>
      </c>
      <c r="G700" s="210"/>
      <c r="H700" s="209" t="s">
        <v>703</v>
      </c>
      <c r="I700" s="203" t="s">
        <v>664</v>
      </c>
      <c r="J700" s="202">
        <v>1</v>
      </c>
      <c r="K700" s="202">
        <v>1</v>
      </c>
      <c r="L700" s="202">
        <v>12</v>
      </c>
      <c r="M700" s="185">
        <f t="shared" si="164"/>
        <v>1</v>
      </c>
      <c r="N700" s="193" t="s">
        <v>36</v>
      </c>
      <c r="O700" s="194" t="s">
        <v>256</v>
      </c>
      <c r="P700" s="211">
        <f t="shared" si="169"/>
        <v>1</v>
      </c>
      <c r="Q700" s="196">
        <f t="shared" si="162"/>
        <v>725303040</v>
      </c>
      <c r="R700" s="196">
        <f t="shared" si="163"/>
        <v>725303040</v>
      </c>
      <c r="S700" s="201" t="s">
        <v>217</v>
      </c>
      <c r="T700" s="211">
        <f t="shared" si="166"/>
        <v>0</v>
      </c>
      <c r="U700" s="198" t="str">
        <f t="shared" si="165"/>
        <v>SUBDIRECCION DE GESTION CONTRACTUAL</v>
      </c>
      <c r="V700" s="211" t="str">
        <f t="shared" si="167"/>
        <v>CO-DC</v>
      </c>
      <c r="W700" s="211" t="str">
        <f t="shared" si="168"/>
        <v>Distrito Capital de Bogotá</v>
      </c>
      <c r="X700" s="209" t="s">
        <v>512</v>
      </c>
      <c r="Y700" s="202">
        <v>2427400</v>
      </c>
      <c r="Z700" s="212" t="s">
        <v>154</v>
      </c>
      <c r="AA700" s="134"/>
      <c r="AB700" s="134"/>
      <c r="AC700" s="134"/>
      <c r="AD700" s="134"/>
      <c r="AE700" s="134"/>
      <c r="AF700" s="134"/>
      <c r="AG700" s="134"/>
      <c r="AH700" s="134"/>
      <c r="AI700" s="134"/>
      <c r="AJ700" s="134"/>
      <c r="AK700" s="134"/>
      <c r="AL700" s="134"/>
      <c r="AM700" s="134"/>
      <c r="AN700" s="134"/>
      <c r="AO700" s="134"/>
      <c r="AP700" s="134"/>
      <c r="AQ700" s="134"/>
      <c r="AR700" s="134"/>
      <c r="AS700" s="134"/>
      <c r="AT700" s="134"/>
      <c r="AU700" s="132"/>
      <c r="AV700" s="132"/>
      <c r="AW700" s="132"/>
      <c r="AX700" s="132"/>
      <c r="AY700" s="132"/>
      <c r="AZ700" s="132"/>
      <c r="BA700" s="132"/>
      <c r="BB700" s="132"/>
      <c r="BC700" s="132"/>
      <c r="BD700" s="132"/>
      <c r="BE700" s="132"/>
      <c r="BF700" s="132"/>
      <c r="BG700" s="132"/>
      <c r="BH700" s="132"/>
      <c r="BI700" s="132"/>
      <c r="BJ700" s="132"/>
      <c r="BK700" s="132"/>
      <c r="BL700" s="132"/>
      <c r="BM700" s="132"/>
      <c r="BN700" s="132"/>
      <c r="BO700" s="132"/>
      <c r="BP700" s="132"/>
      <c r="BQ700" s="132"/>
      <c r="BR700" s="132"/>
      <c r="BS700" s="132"/>
      <c r="BT700" s="132"/>
      <c r="BU700" s="132"/>
      <c r="BV700" s="132"/>
      <c r="BW700" s="132"/>
      <c r="BX700" s="132"/>
      <c r="BY700" s="132"/>
      <c r="BZ700" s="132"/>
      <c r="CA700" s="132"/>
      <c r="CB700" s="132"/>
      <c r="CC700" s="132"/>
      <c r="CD700" s="132"/>
      <c r="CE700" s="132"/>
      <c r="CF700" s="132"/>
      <c r="CG700" s="140"/>
    </row>
    <row r="701" spans="1:85" s="139" customFormat="1" ht="13.9" customHeight="1" x14ac:dyDescent="0.2">
      <c r="A701" s="208" t="s">
        <v>152</v>
      </c>
      <c r="B701" s="202">
        <v>47</v>
      </c>
      <c r="C701" s="203" t="s">
        <v>538</v>
      </c>
      <c r="D701" s="209" t="s">
        <v>153</v>
      </c>
      <c r="E701" s="210"/>
      <c r="F701" s="210">
        <v>360741600</v>
      </c>
      <c r="G701" s="210"/>
      <c r="H701" s="209" t="s">
        <v>703</v>
      </c>
      <c r="I701" s="203" t="s">
        <v>665</v>
      </c>
      <c r="J701" s="202">
        <v>1</v>
      </c>
      <c r="K701" s="202">
        <v>1</v>
      </c>
      <c r="L701" s="202">
        <v>12</v>
      </c>
      <c r="M701" s="185">
        <f t="shared" si="164"/>
        <v>1</v>
      </c>
      <c r="N701" s="193" t="s">
        <v>36</v>
      </c>
      <c r="O701" s="194" t="s">
        <v>256</v>
      </c>
      <c r="P701" s="211">
        <f t="shared" si="169"/>
        <v>1</v>
      </c>
      <c r="Q701" s="196">
        <f t="shared" si="162"/>
        <v>360741600</v>
      </c>
      <c r="R701" s="196">
        <f t="shared" si="163"/>
        <v>360741600</v>
      </c>
      <c r="S701" s="201" t="s">
        <v>217</v>
      </c>
      <c r="T701" s="211">
        <f t="shared" si="166"/>
        <v>0</v>
      </c>
      <c r="U701" s="198" t="str">
        <f t="shared" si="165"/>
        <v>SUBDIRECCION DE GESTION CONTRACTUAL</v>
      </c>
      <c r="V701" s="211" t="str">
        <f t="shared" si="167"/>
        <v>CO-DC</v>
      </c>
      <c r="W701" s="211" t="str">
        <f t="shared" si="168"/>
        <v>Distrito Capital de Bogotá</v>
      </c>
      <c r="X701" s="209" t="s">
        <v>512</v>
      </c>
      <c r="Y701" s="202">
        <v>2427400</v>
      </c>
      <c r="Z701" s="212" t="s">
        <v>154</v>
      </c>
      <c r="AA701" s="134"/>
      <c r="AB701" s="134"/>
      <c r="AC701" s="134"/>
      <c r="AD701" s="134"/>
      <c r="AE701" s="134"/>
      <c r="AF701" s="134"/>
      <c r="AG701" s="134"/>
      <c r="AH701" s="134"/>
      <c r="AI701" s="134"/>
      <c r="AJ701" s="134"/>
      <c r="AK701" s="134"/>
      <c r="AL701" s="134"/>
      <c r="AM701" s="134"/>
      <c r="AN701" s="134"/>
      <c r="AO701" s="134"/>
      <c r="AP701" s="134"/>
      <c r="AQ701" s="134"/>
      <c r="AR701" s="134"/>
      <c r="AS701" s="134"/>
      <c r="AT701" s="134"/>
      <c r="AU701" s="132"/>
      <c r="AV701" s="132"/>
      <c r="AW701" s="132"/>
      <c r="AX701" s="132"/>
      <c r="AY701" s="132"/>
      <c r="AZ701" s="132"/>
      <c r="BA701" s="132"/>
      <c r="BB701" s="132"/>
      <c r="BC701" s="132"/>
      <c r="BD701" s="132"/>
      <c r="BE701" s="132"/>
      <c r="BF701" s="132"/>
      <c r="BG701" s="132"/>
      <c r="BH701" s="132"/>
      <c r="BI701" s="132"/>
      <c r="BJ701" s="132"/>
      <c r="BK701" s="132"/>
      <c r="BL701" s="132"/>
      <c r="BM701" s="132"/>
      <c r="BN701" s="132"/>
      <c r="BO701" s="132"/>
      <c r="BP701" s="132"/>
      <c r="BQ701" s="132"/>
      <c r="BR701" s="132"/>
      <c r="BS701" s="132"/>
      <c r="BT701" s="132"/>
      <c r="BU701" s="132"/>
      <c r="BV701" s="132"/>
      <c r="BW701" s="132"/>
      <c r="BX701" s="132"/>
      <c r="BY701" s="132"/>
      <c r="BZ701" s="132"/>
      <c r="CA701" s="132"/>
      <c r="CB701" s="132"/>
      <c r="CC701" s="132"/>
      <c r="CD701" s="132"/>
      <c r="CE701" s="132"/>
      <c r="CF701" s="132"/>
      <c r="CG701" s="140"/>
    </row>
    <row r="702" spans="1:85" s="139" customFormat="1" ht="13.9" customHeight="1" x14ac:dyDescent="0.2">
      <c r="A702" s="208" t="s">
        <v>152</v>
      </c>
      <c r="B702" s="202">
        <v>48</v>
      </c>
      <c r="C702" s="203" t="s">
        <v>538</v>
      </c>
      <c r="D702" s="209" t="s">
        <v>153</v>
      </c>
      <c r="E702" s="210"/>
      <c r="F702" s="210">
        <v>725303040</v>
      </c>
      <c r="G702" s="210"/>
      <c r="H702" s="209" t="s">
        <v>703</v>
      </c>
      <c r="I702" s="203" t="s">
        <v>666</v>
      </c>
      <c r="J702" s="202">
        <v>1</v>
      </c>
      <c r="K702" s="202">
        <v>1</v>
      </c>
      <c r="L702" s="202">
        <v>12</v>
      </c>
      <c r="M702" s="185">
        <f t="shared" si="164"/>
        <v>1</v>
      </c>
      <c r="N702" s="193" t="s">
        <v>36</v>
      </c>
      <c r="O702" s="194" t="s">
        <v>256</v>
      </c>
      <c r="P702" s="211">
        <f t="shared" si="169"/>
        <v>1</v>
      </c>
      <c r="Q702" s="196">
        <f t="shared" si="162"/>
        <v>725303040</v>
      </c>
      <c r="R702" s="196">
        <f t="shared" si="163"/>
        <v>725303040</v>
      </c>
      <c r="S702" s="201" t="s">
        <v>217</v>
      </c>
      <c r="T702" s="211">
        <f t="shared" si="166"/>
        <v>0</v>
      </c>
      <c r="U702" s="198" t="str">
        <f t="shared" si="165"/>
        <v>SUBDIRECCION DE GESTION CONTRACTUAL</v>
      </c>
      <c r="V702" s="211" t="str">
        <f t="shared" si="167"/>
        <v>CO-DC</v>
      </c>
      <c r="W702" s="211" t="str">
        <f t="shared" si="168"/>
        <v>Distrito Capital de Bogotá</v>
      </c>
      <c r="X702" s="209" t="s">
        <v>512</v>
      </c>
      <c r="Y702" s="202">
        <v>2427400</v>
      </c>
      <c r="Z702" s="212" t="s">
        <v>154</v>
      </c>
      <c r="AA702" s="134"/>
      <c r="AB702" s="134"/>
      <c r="AC702" s="134"/>
      <c r="AD702" s="134"/>
      <c r="AE702" s="134"/>
      <c r="AF702" s="134"/>
      <c r="AG702" s="134"/>
      <c r="AH702" s="134"/>
      <c r="AI702" s="134"/>
      <c r="AJ702" s="134"/>
      <c r="AK702" s="134"/>
      <c r="AL702" s="134"/>
      <c r="AM702" s="134"/>
      <c r="AN702" s="134"/>
      <c r="AO702" s="134"/>
      <c r="AP702" s="134"/>
      <c r="AQ702" s="134"/>
      <c r="AR702" s="134"/>
      <c r="AS702" s="134"/>
      <c r="AT702" s="134"/>
      <c r="AU702" s="132"/>
      <c r="AV702" s="132"/>
      <c r="AW702" s="132"/>
      <c r="AX702" s="132"/>
      <c r="AY702" s="132"/>
      <c r="AZ702" s="132"/>
      <c r="BA702" s="132"/>
      <c r="BB702" s="132"/>
      <c r="BC702" s="132"/>
      <c r="BD702" s="132"/>
      <c r="BE702" s="132"/>
      <c r="BF702" s="132"/>
      <c r="BG702" s="132"/>
      <c r="BH702" s="132"/>
      <c r="BI702" s="132"/>
      <c r="BJ702" s="132"/>
      <c r="BK702" s="132"/>
      <c r="BL702" s="132"/>
      <c r="BM702" s="132"/>
      <c r="BN702" s="132"/>
      <c r="BO702" s="132"/>
      <c r="BP702" s="132"/>
      <c r="BQ702" s="132"/>
      <c r="BR702" s="132"/>
      <c r="BS702" s="132"/>
      <c r="BT702" s="132"/>
      <c r="BU702" s="132"/>
      <c r="BV702" s="132"/>
      <c r="BW702" s="132"/>
      <c r="BX702" s="132"/>
      <c r="BY702" s="132"/>
      <c r="BZ702" s="132"/>
      <c r="CA702" s="132"/>
      <c r="CB702" s="132"/>
      <c r="CC702" s="132"/>
      <c r="CD702" s="132"/>
      <c r="CE702" s="132"/>
      <c r="CF702" s="132"/>
      <c r="CG702" s="140"/>
    </row>
    <row r="703" spans="1:85" s="139" customFormat="1" ht="13.9" customHeight="1" x14ac:dyDescent="0.2">
      <c r="A703" s="208" t="s">
        <v>152</v>
      </c>
      <c r="B703" s="202">
        <v>49</v>
      </c>
      <c r="C703" s="203" t="s">
        <v>538</v>
      </c>
      <c r="D703" s="209" t="s">
        <v>153</v>
      </c>
      <c r="E703" s="210"/>
      <c r="F703" s="210">
        <v>305440000</v>
      </c>
      <c r="G703" s="210"/>
      <c r="H703" s="209" t="s">
        <v>703</v>
      </c>
      <c r="I703" s="203" t="s">
        <v>667</v>
      </c>
      <c r="J703" s="202">
        <v>1</v>
      </c>
      <c r="K703" s="202">
        <v>1</v>
      </c>
      <c r="L703" s="202">
        <v>12</v>
      </c>
      <c r="M703" s="185">
        <f t="shared" ref="M703:M734" si="170">IF(ISBLANK(J703),"",1)</f>
        <v>1</v>
      </c>
      <c r="N703" s="193" t="s">
        <v>36</v>
      </c>
      <c r="O703" s="194" t="s">
        <v>256</v>
      </c>
      <c r="P703" s="211">
        <f t="shared" si="169"/>
        <v>1</v>
      </c>
      <c r="Q703" s="196">
        <f t="shared" si="162"/>
        <v>305440000</v>
      </c>
      <c r="R703" s="196">
        <f t="shared" si="163"/>
        <v>305440000</v>
      </c>
      <c r="S703" s="201" t="s">
        <v>217</v>
      </c>
      <c r="T703" s="211">
        <f t="shared" si="166"/>
        <v>0</v>
      </c>
      <c r="U703" s="198" t="str">
        <f t="shared" ref="U703:U734" si="171">IF(ISBLANK(N703),"","SUBDIRECCION DE GESTION CONTRACTUAL")</f>
        <v>SUBDIRECCION DE GESTION CONTRACTUAL</v>
      </c>
      <c r="V703" s="211" t="str">
        <f t="shared" si="167"/>
        <v>CO-DC</v>
      </c>
      <c r="W703" s="211" t="str">
        <f t="shared" si="168"/>
        <v>Distrito Capital de Bogotá</v>
      </c>
      <c r="X703" s="209" t="s">
        <v>512</v>
      </c>
      <c r="Y703" s="202">
        <v>2427400</v>
      </c>
      <c r="Z703" s="212" t="s">
        <v>154</v>
      </c>
      <c r="AA703" s="134"/>
      <c r="AB703" s="134"/>
      <c r="AC703" s="134"/>
      <c r="AD703" s="134"/>
      <c r="AE703" s="134"/>
      <c r="AF703" s="134"/>
      <c r="AG703" s="134"/>
      <c r="AH703" s="134"/>
      <c r="AI703" s="134"/>
      <c r="AJ703" s="134"/>
      <c r="AK703" s="134"/>
      <c r="AL703" s="134"/>
      <c r="AM703" s="134"/>
      <c r="AN703" s="134"/>
      <c r="AO703" s="134"/>
      <c r="AP703" s="134"/>
      <c r="AQ703" s="134"/>
      <c r="AR703" s="134"/>
      <c r="AS703" s="134"/>
      <c r="AT703" s="134"/>
      <c r="AU703" s="132"/>
      <c r="AV703" s="132"/>
      <c r="AW703" s="132"/>
      <c r="AX703" s="132"/>
      <c r="AY703" s="132"/>
      <c r="AZ703" s="132"/>
      <c r="BA703" s="132"/>
      <c r="BB703" s="132"/>
      <c r="BC703" s="132"/>
      <c r="BD703" s="132"/>
      <c r="BE703" s="132"/>
      <c r="BF703" s="132"/>
      <c r="BG703" s="132"/>
      <c r="BH703" s="132"/>
      <c r="BI703" s="132"/>
      <c r="BJ703" s="132"/>
      <c r="BK703" s="132"/>
      <c r="BL703" s="132"/>
      <c r="BM703" s="132"/>
      <c r="BN703" s="132"/>
      <c r="BO703" s="132"/>
      <c r="BP703" s="132"/>
      <c r="BQ703" s="132"/>
      <c r="BR703" s="132"/>
      <c r="BS703" s="132"/>
      <c r="BT703" s="132"/>
      <c r="BU703" s="132"/>
      <c r="BV703" s="132"/>
      <c r="BW703" s="132"/>
      <c r="BX703" s="132"/>
      <c r="BY703" s="132"/>
      <c r="BZ703" s="132"/>
      <c r="CA703" s="132"/>
      <c r="CB703" s="132"/>
      <c r="CC703" s="132"/>
      <c r="CD703" s="132"/>
      <c r="CE703" s="132"/>
      <c r="CF703" s="132"/>
      <c r="CG703" s="140"/>
    </row>
    <row r="704" spans="1:85" s="139" customFormat="1" ht="13.9" customHeight="1" x14ac:dyDescent="0.2">
      <c r="A704" s="208" t="s">
        <v>152</v>
      </c>
      <c r="B704" s="202">
        <v>50</v>
      </c>
      <c r="C704" s="203" t="s">
        <v>538</v>
      </c>
      <c r="D704" s="209" t="s">
        <v>153</v>
      </c>
      <c r="E704" s="210"/>
      <c r="F704" s="210">
        <v>367679250</v>
      </c>
      <c r="G704" s="210"/>
      <c r="H704" s="209" t="s">
        <v>703</v>
      </c>
      <c r="I704" s="203" t="s">
        <v>668</v>
      </c>
      <c r="J704" s="202">
        <v>1</v>
      </c>
      <c r="K704" s="202">
        <v>1</v>
      </c>
      <c r="L704" s="202">
        <v>12</v>
      </c>
      <c r="M704" s="185">
        <f t="shared" si="170"/>
        <v>1</v>
      </c>
      <c r="N704" s="193" t="s">
        <v>36</v>
      </c>
      <c r="O704" s="194" t="s">
        <v>256</v>
      </c>
      <c r="P704" s="211">
        <f t="shared" si="169"/>
        <v>1</v>
      </c>
      <c r="Q704" s="196">
        <f t="shared" si="162"/>
        <v>367679250</v>
      </c>
      <c r="R704" s="196">
        <f t="shared" si="163"/>
        <v>367679250</v>
      </c>
      <c r="S704" s="201" t="s">
        <v>217</v>
      </c>
      <c r="T704" s="211">
        <f t="shared" ref="T704:T735" si="172">IF(ISBLANK(S704),"",IF(VALUE(S704)=0,0,IF(VALUE(S704)=1,3,"")))</f>
        <v>0</v>
      </c>
      <c r="U704" s="198" t="str">
        <f t="shared" si="171"/>
        <v>SUBDIRECCION DE GESTION CONTRACTUAL</v>
      </c>
      <c r="V704" s="211" t="str">
        <f t="shared" si="167"/>
        <v>CO-DC</v>
      </c>
      <c r="W704" s="211" t="str">
        <f t="shared" si="168"/>
        <v>Distrito Capital de Bogotá</v>
      </c>
      <c r="X704" s="209" t="s">
        <v>512</v>
      </c>
      <c r="Y704" s="202">
        <v>2427400</v>
      </c>
      <c r="Z704" s="212" t="s">
        <v>154</v>
      </c>
      <c r="AA704" s="134"/>
      <c r="AB704" s="134"/>
      <c r="AC704" s="134"/>
      <c r="AD704" s="134"/>
      <c r="AE704" s="134"/>
      <c r="AF704" s="134"/>
      <c r="AG704" s="134"/>
      <c r="AH704" s="134"/>
      <c r="AI704" s="134"/>
      <c r="AJ704" s="134"/>
      <c r="AK704" s="134"/>
      <c r="AL704" s="134"/>
      <c r="AM704" s="134"/>
      <c r="AN704" s="134"/>
      <c r="AO704" s="134"/>
      <c r="AP704" s="134"/>
      <c r="AQ704" s="134"/>
      <c r="AR704" s="134"/>
      <c r="AS704" s="134"/>
      <c r="AT704" s="134"/>
      <c r="AU704" s="132"/>
      <c r="AV704" s="132"/>
      <c r="AW704" s="132"/>
      <c r="AX704" s="132"/>
      <c r="AY704" s="132"/>
      <c r="AZ704" s="132"/>
      <c r="BA704" s="132"/>
      <c r="BB704" s="132"/>
      <c r="BC704" s="132"/>
      <c r="BD704" s="132"/>
      <c r="BE704" s="132"/>
      <c r="BF704" s="132"/>
      <c r="BG704" s="132"/>
      <c r="BH704" s="132"/>
      <c r="BI704" s="132"/>
      <c r="BJ704" s="132"/>
      <c r="BK704" s="132"/>
      <c r="BL704" s="132"/>
      <c r="BM704" s="132"/>
      <c r="BN704" s="132"/>
      <c r="BO704" s="132"/>
      <c r="BP704" s="132"/>
      <c r="BQ704" s="132"/>
      <c r="BR704" s="132"/>
      <c r="BS704" s="132"/>
      <c r="BT704" s="132"/>
      <c r="BU704" s="132"/>
      <c r="BV704" s="132"/>
      <c r="BW704" s="132"/>
      <c r="BX704" s="132"/>
      <c r="BY704" s="132"/>
      <c r="BZ704" s="132"/>
      <c r="CA704" s="132"/>
      <c r="CB704" s="132"/>
      <c r="CC704" s="132"/>
      <c r="CD704" s="132"/>
      <c r="CE704" s="132"/>
      <c r="CF704" s="132"/>
      <c r="CG704" s="140"/>
    </row>
    <row r="705" spans="1:85" s="139" customFormat="1" ht="13.9" customHeight="1" x14ac:dyDescent="0.2">
      <c r="A705" s="208" t="s">
        <v>152</v>
      </c>
      <c r="B705" s="202">
        <v>51</v>
      </c>
      <c r="C705" s="203" t="s">
        <v>538</v>
      </c>
      <c r="D705" s="209" t="s">
        <v>153</v>
      </c>
      <c r="E705" s="210"/>
      <c r="F705" s="210">
        <v>250000000</v>
      </c>
      <c r="G705" s="210"/>
      <c r="H705" s="209" t="s">
        <v>703</v>
      </c>
      <c r="I705" s="203" t="s">
        <v>669</v>
      </c>
      <c r="J705" s="202">
        <v>1</v>
      </c>
      <c r="K705" s="202">
        <v>1</v>
      </c>
      <c r="L705" s="202">
        <v>12</v>
      </c>
      <c r="M705" s="185">
        <f t="shared" si="170"/>
        <v>1</v>
      </c>
      <c r="N705" s="193" t="s">
        <v>36</v>
      </c>
      <c r="O705" s="194" t="s">
        <v>256</v>
      </c>
      <c r="P705" s="211">
        <f t="shared" si="169"/>
        <v>1</v>
      </c>
      <c r="Q705" s="196">
        <f t="shared" si="162"/>
        <v>250000000</v>
      </c>
      <c r="R705" s="196">
        <f t="shared" si="163"/>
        <v>250000000</v>
      </c>
      <c r="S705" s="201" t="s">
        <v>217</v>
      </c>
      <c r="T705" s="211">
        <f t="shared" si="172"/>
        <v>0</v>
      </c>
      <c r="U705" s="198" t="str">
        <f t="shared" si="171"/>
        <v>SUBDIRECCION DE GESTION CONTRACTUAL</v>
      </c>
      <c r="V705" s="211" t="str">
        <f t="shared" si="167"/>
        <v>CO-DC</v>
      </c>
      <c r="W705" s="211" t="str">
        <f t="shared" si="168"/>
        <v>Distrito Capital de Bogotá</v>
      </c>
      <c r="X705" s="209" t="s">
        <v>512</v>
      </c>
      <c r="Y705" s="202">
        <v>2427400</v>
      </c>
      <c r="Z705" s="212" t="s">
        <v>154</v>
      </c>
      <c r="AA705" s="134"/>
      <c r="AB705" s="134"/>
      <c r="AC705" s="134"/>
      <c r="AD705" s="134"/>
      <c r="AE705" s="134"/>
      <c r="AF705" s="134"/>
      <c r="AG705" s="134"/>
      <c r="AH705" s="134"/>
      <c r="AI705" s="134"/>
      <c r="AJ705" s="134"/>
      <c r="AK705" s="134"/>
      <c r="AL705" s="134"/>
      <c r="AM705" s="134"/>
      <c r="AN705" s="134"/>
      <c r="AO705" s="134"/>
      <c r="AP705" s="134"/>
      <c r="AQ705" s="134"/>
      <c r="AR705" s="134"/>
      <c r="AS705" s="134"/>
      <c r="AT705" s="134"/>
      <c r="AU705" s="132"/>
      <c r="AV705" s="132"/>
      <c r="AW705" s="132"/>
      <c r="AX705" s="132"/>
      <c r="AY705" s="132"/>
      <c r="AZ705" s="132"/>
      <c r="BA705" s="132"/>
      <c r="BB705" s="132"/>
      <c r="BC705" s="132"/>
      <c r="BD705" s="132"/>
      <c r="BE705" s="132"/>
      <c r="BF705" s="132"/>
      <c r="BG705" s="132"/>
      <c r="BH705" s="132"/>
      <c r="BI705" s="132"/>
      <c r="BJ705" s="132"/>
      <c r="BK705" s="132"/>
      <c r="BL705" s="132"/>
      <c r="BM705" s="132"/>
      <c r="BN705" s="132"/>
      <c r="BO705" s="132"/>
      <c r="BP705" s="132"/>
      <c r="BQ705" s="132"/>
      <c r="BR705" s="132"/>
      <c r="BS705" s="132"/>
      <c r="BT705" s="132"/>
      <c r="BU705" s="132"/>
      <c r="BV705" s="132"/>
      <c r="BW705" s="132"/>
      <c r="BX705" s="132"/>
      <c r="BY705" s="132"/>
      <c r="BZ705" s="132"/>
      <c r="CA705" s="132"/>
      <c r="CB705" s="132"/>
      <c r="CC705" s="132"/>
      <c r="CD705" s="132"/>
      <c r="CE705" s="132"/>
      <c r="CF705" s="132"/>
      <c r="CG705" s="140"/>
    </row>
    <row r="706" spans="1:85" s="139" customFormat="1" ht="13.9" customHeight="1" x14ac:dyDescent="0.2">
      <c r="A706" s="208" t="s">
        <v>152</v>
      </c>
      <c r="B706" s="202">
        <v>52</v>
      </c>
      <c r="C706" s="203" t="s">
        <v>538</v>
      </c>
      <c r="D706" s="209" t="s">
        <v>153</v>
      </c>
      <c r="E706" s="210"/>
      <c r="F706" s="210">
        <v>1459293457</v>
      </c>
      <c r="G706" s="210"/>
      <c r="H706" s="209" t="s">
        <v>707</v>
      </c>
      <c r="I706" s="203" t="s">
        <v>670</v>
      </c>
      <c r="J706" s="202">
        <v>1</v>
      </c>
      <c r="K706" s="202">
        <v>1</v>
      </c>
      <c r="L706" s="202">
        <v>12</v>
      </c>
      <c r="M706" s="185">
        <f t="shared" si="170"/>
        <v>1</v>
      </c>
      <c r="N706" s="193" t="s">
        <v>36</v>
      </c>
      <c r="O706" s="194" t="s">
        <v>256</v>
      </c>
      <c r="P706" s="211">
        <f t="shared" si="169"/>
        <v>1</v>
      </c>
      <c r="Q706" s="196">
        <f t="shared" si="162"/>
        <v>1459293457</v>
      </c>
      <c r="R706" s="196">
        <f t="shared" si="163"/>
        <v>1459293457</v>
      </c>
      <c r="S706" s="201" t="s">
        <v>217</v>
      </c>
      <c r="T706" s="211">
        <f t="shared" si="172"/>
        <v>0</v>
      </c>
      <c r="U706" s="198" t="str">
        <f t="shared" si="171"/>
        <v>SUBDIRECCION DE GESTION CONTRACTUAL</v>
      </c>
      <c r="V706" s="211" t="str">
        <f t="shared" si="167"/>
        <v>CO-DC</v>
      </c>
      <c r="W706" s="211" t="str">
        <f t="shared" si="168"/>
        <v>Distrito Capital de Bogotá</v>
      </c>
      <c r="X706" s="209" t="s">
        <v>512</v>
      </c>
      <c r="Y706" s="202">
        <v>2427400</v>
      </c>
      <c r="Z706" s="212" t="s">
        <v>154</v>
      </c>
      <c r="AA706" s="134"/>
      <c r="AB706" s="134"/>
      <c r="AC706" s="134"/>
      <c r="AD706" s="134"/>
      <c r="AE706" s="134"/>
      <c r="AF706" s="134"/>
      <c r="AG706" s="134"/>
      <c r="AH706" s="134"/>
      <c r="AI706" s="134"/>
      <c r="AJ706" s="134"/>
      <c r="AK706" s="134"/>
      <c r="AL706" s="134"/>
      <c r="AM706" s="134"/>
      <c r="AN706" s="134"/>
      <c r="AO706" s="134"/>
      <c r="AP706" s="134"/>
      <c r="AQ706" s="134"/>
      <c r="AR706" s="134"/>
      <c r="AS706" s="134"/>
      <c r="AT706" s="134"/>
      <c r="AU706" s="132"/>
      <c r="AV706" s="132"/>
      <c r="AW706" s="132"/>
      <c r="AX706" s="132"/>
      <c r="AY706" s="132"/>
      <c r="AZ706" s="132"/>
      <c r="BA706" s="132"/>
      <c r="BB706" s="132"/>
      <c r="BC706" s="132"/>
      <c r="BD706" s="132"/>
      <c r="BE706" s="132"/>
      <c r="BF706" s="132"/>
      <c r="BG706" s="132"/>
      <c r="BH706" s="132"/>
      <c r="BI706" s="132"/>
      <c r="BJ706" s="132"/>
      <c r="BK706" s="132"/>
      <c r="BL706" s="132"/>
      <c r="BM706" s="132"/>
      <c r="BN706" s="132"/>
      <c r="BO706" s="132"/>
      <c r="BP706" s="132"/>
      <c r="BQ706" s="132"/>
      <c r="BR706" s="132"/>
      <c r="BS706" s="132"/>
      <c r="BT706" s="132"/>
      <c r="BU706" s="132"/>
      <c r="BV706" s="132"/>
      <c r="BW706" s="132"/>
      <c r="BX706" s="132"/>
      <c r="BY706" s="132"/>
      <c r="BZ706" s="132"/>
      <c r="CA706" s="132"/>
      <c r="CB706" s="132"/>
      <c r="CC706" s="132"/>
      <c r="CD706" s="132"/>
      <c r="CE706" s="132"/>
      <c r="CF706" s="132"/>
      <c r="CG706" s="140"/>
    </row>
    <row r="707" spans="1:85" s="139" customFormat="1" ht="13.9" customHeight="1" x14ac:dyDescent="0.2">
      <c r="A707" s="208" t="s">
        <v>152</v>
      </c>
      <c r="B707" s="202">
        <v>53</v>
      </c>
      <c r="C707" s="203" t="s">
        <v>538</v>
      </c>
      <c r="D707" s="209" t="s">
        <v>153</v>
      </c>
      <c r="E707" s="210"/>
      <c r="F707" s="210">
        <v>147071700</v>
      </c>
      <c r="G707" s="210"/>
      <c r="H707" s="209" t="s">
        <v>703</v>
      </c>
      <c r="I707" s="203" t="s">
        <v>671</v>
      </c>
      <c r="J707" s="202">
        <v>1</v>
      </c>
      <c r="K707" s="202">
        <v>1</v>
      </c>
      <c r="L707" s="202">
        <v>12</v>
      </c>
      <c r="M707" s="185">
        <f t="shared" si="170"/>
        <v>1</v>
      </c>
      <c r="N707" s="193" t="s">
        <v>36</v>
      </c>
      <c r="O707" s="194" t="s">
        <v>256</v>
      </c>
      <c r="P707" s="211">
        <f t="shared" si="169"/>
        <v>1</v>
      </c>
      <c r="Q707" s="196">
        <f t="shared" si="162"/>
        <v>147071700</v>
      </c>
      <c r="R707" s="196">
        <f t="shared" si="163"/>
        <v>147071700</v>
      </c>
      <c r="S707" s="201" t="s">
        <v>217</v>
      </c>
      <c r="T707" s="211">
        <f t="shared" si="172"/>
        <v>0</v>
      </c>
      <c r="U707" s="198" t="str">
        <f t="shared" si="171"/>
        <v>SUBDIRECCION DE GESTION CONTRACTUAL</v>
      </c>
      <c r="V707" s="211" t="str">
        <f t="shared" si="167"/>
        <v>CO-DC</v>
      </c>
      <c r="W707" s="211" t="str">
        <f t="shared" si="168"/>
        <v>Distrito Capital de Bogotá</v>
      </c>
      <c r="X707" s="209" t="s">
        <v>512</v>
      </c>
      <c r="Y707" s="202">
        <v>2427400</v>
      </c>
      <c r="Z707" s="212" t="s">
        <v>154</v>
      </c>
      <c r="AA707" s="134"/>
      <c r="AB707" s="134"/>
      <c r="AC707" s="134"/>
      <c r="AD707" s="134"/>
      <c r="AE707" s="134"/>
      <c r="AF707" s="134"/>
      <c r="AG707" s="134"/>
      <c r="AH707" s="134"/>
      <c r="AI707" s="134"/>
      <c r="AJ707" s="134"/>
      <c r="AK707" s="134"/>
      <c r="AL707" s="134"/>
      <c r="AM707" s="134"/>
      <c r="AN707" s="134"/>
      <c r="AO707" s="134"/>
      <c r="AP707" s="134"/>
      <c r="AQ707" s="134"/>
      <c r="AR707" s="134"/>
      <c r="AS707" s="134"/>
      <c r="AT707" s="134"/>
      <c r="AU707" s="132"/>
      <c r="AV707" s="132"/>
      <c r="AW707" s="132"/>
      <c r="AX707" s="132"/>
      <c r="AY707" s="132"/>
      <c r="AZ707" s="132"/>
      <c r="BA707" s="132"/>
      <c r="BB707" s="132"/>
      <c r="BC707" s="132"/>
      <c r="BD707" s="132"/>
      <c r="BE707" s="132"/>
      <c r="BF707" s="132"/>
      <c r="BG707" s="132"/>
      <c r="BH707" s="132"/>
      <c r="BI707" s="132"/>
      <c r="BJ707" s="132"/>
      <c r="BK707" s="132"/>
      <c r="BL707" s="132"/>
      <c r="BM707" s="132"/>
      <c r="BN707" s="132"/>
      <c r="BO707" s="132"/>
      <c r="BP707" s="132"/>
      <c r="BQ707" s="132"/>
      <c r="BR707" s="132"/>
      <c r="BS707" s="132"/>
      <c r="BT707" s="132"/>
      <c r="BU707" s="132"/>
      <c r="BV707" s="132"/>
      <c r="BW707" s="132"/>
      <c r="BX707" s="132"/>
      <c r="BY707" s="132"/>
      <c r="BZ707" s="132"/>
      <c r="CA707" s="132"/>
      <c r="CB707" s="132"/>
      <c r="CC707" s="132"/>
      <c r="CD707" s="132"/>
      <c r="CE707" s="132"/>
      <c r="CF707" s="132"/>
      <c r="CG707" s="140"/>
    </row>
    <row r="708" spans="1:85" s="139" customFormat="1" ht="13.9" customHeight="1" x14ac:dyDescent="0.2">
      <c r="A708" s="208" t="s">
        <v>152</v>
      </c>
      <c r="B708" s="202">
        <v>54</v>
      </c>
      <c r="C708" s="203" t="s">
        <v>538</v>
      </c>
      <c r="D708" s="209" t="s">
        <v>153</v>
      </c>
      <c r="E708" s="210"/>
      <c r="F708" s="210">
        <v>393269024</v>
      </c>
      <c r="G708" s="210"/>
      <c r="H708" s="209" t="s">
        <v>707</v>
      </c>
      <c r="I708" s="203" t="s">
        <v>673</v>
      </c>
      <c r="J708" s="202">
        <v>1</v>
      </c>
      <c r="K708" s="202">
        <v>1</v>
      </c>
      <c r="L708" s="202">
        <v>12</v>
      </c>
      <c r="M708" s="185">
        <f t="shared" si="170"/>
        <v>1</v>
      </c>
      <c r="N708" s="193" t="s">
        <v>36</v>
      </c>
      <c r="O708" s="194" t="s">
        <v>256</v>
      </c>
      <c r="P708" s="211">
        <f t="shared" si="169"/>
        <v>1</v>
      </c>
      <c r="Q708" s="196">
        <f t="shared" si="162"/>
        <v>393269024</v>
      </c>
      <c r="R708" s="196">
        <f t="shared" si="163"/>
        <v>393269024</v>
      </c>
      <c r="S708" s="201" t="s">
        <v>217</v>
      </c>
      <c r="T708" s="211">
        <f t="shared" si="172"/>
        <v>0</v>
      </c>
      <c r="U708" s="198" t="str">
        <f t="shared" si="171"/>
        <v>SUBDIRECCION DE GESTION CONTRACTUAL</v>
      </c>
      <c r="V708" s="211" t="str">
        <f t="shared" si="167"/>
        <v>CO-DC</v>
      </c>
      <c r="W708" s="211" t="str">
        <f t="shared" si="168"/>
        <v>Distrito Capital de Bogotá</v>
      </c>
      <c r="X708" s="209" t="s">
        <v>512</v>
      </c>
      <c r="Y708" s="202">
        <v>2427400</v>
      </c>
      <c r="Z708" s="212" t="s">
        <v>154</v>
      </c>
      <c r="AA708" s="134"/>
      <c r="AB708" s="134"/>
      <c r="AC708" s="134"/>
      <c r="AD708" s="134"/>
      <c r="AE708" s="134"/>
      <c r="AF708" s="134"/>
      <c r="AG708" s="134"/>
      <c r="AH708" s="134"/>
      <c r="AI708" s="134"/>
      <c r="AJ708" s="134"/>
      <c r="AK708" s="134"/>
      <c r="AL708" s="134"/>
      <c r="AM708" s="134"/>
      <c r="AN708" s="134"/>
      <c r="AO708" s="134"/>
      <c r="AP708" s="134"/>
      <c r="AQ708" s="134"/>
      <c r="AR708" s="134"/>
      <c r="AS708" s="134"/>
      <c r="AT708" s="134"/>
      <c r="AU708" s="132"/>
      <c r="AV708" s="132"/>
      <c r="AW708" s="132"/>
      <c r="AX708" s="132"/>
      <c r="AY708" s="132"/>
      <c r="AZ708" s="132"/>
      <c r="BA708" s="132"/>
      <c r="BB708" s="132"/>
      <c r="BC708" s="132"/>
      <c r="BD708" s="132"/>
      <c r="BE708" s="132"/>
      <c r="BF708" s="132"/>
      <c r="BG708" s="132"/>
      <c r="BH708" s="132"/>
      <c r="BI708" s="132"/>
      <c r="BJ708" s="132"/>
      <c r="BK708" s="132"/>
      <c r="BL708" s="132"/>
      <c r="BM708" s="132"/>
      <c r="BN708" s="132"/>
      <c r="BO708" s="132"/>
      <c r="BP708" s="132"/>
      <c r="BQ708" s="132"/>
      <c r="BR708" s="132"/>
      <c r="BS708" s="132"/>
      <c r="BT708" s="132"/>
      <c r="BU708" s="132"/>
      <c r="BV708" s="132"/>
      <c r="BW708" s="132"/>
      <c r="BX708" s="132"/>
      <c r="BY708" s="132"/>
      <c r="BZ708" s="132"/>
      <c r="CA708" s="132"/>
      <c r="CB708" s="132"/>
      <c r="CC708" s="132"/>
      <c r="CD708" s="132"/>
      <c r="CE708" s="132"/>
      <c r="CF708" s="132"/>
      <c r="CG708" s="140"/>
    </row>
    <row r="709" spans="1:85" s="139" customFormat="1" ht="13.9" customHeight="1" x14ac:dyDescent="0.2">
      <c r="A709" s="208" t="s">
        <v>152</v>
      </c>
      <c r="B709" s="202">
        <v>55</v>
      </c>
      <c r="C709" s="203" t="s">
        <v>538</v>
      </c>
      <c r="D709" s="209" t="s">
        <v>153</v>
      </c>
      <c r="E709" s="210"/>
      <c r="F709" s="210">
        <v>1030400000</v>
      </c>
      <c r="G709" s="210"/>
      <c r="H709" s="209" t="s">
        <v>703</v>
      </c>
      <c r="I709" s="203" t="s">
        <v>672</v>
      </c>
      <c r="J709" s="202">
        <v>1</v>
      </c>
      <c r="K709" s="202">
        <v>1</v>
      </c>
      <c r="L709" s="202">
        <v>12</v>
      </c>
      <c r="M709" s="185">
        <f t="shared" si="170"/>
        <v>1</v>
      </c>
      <c r="N709" s="193" t="s">
        <v>36</v>
      </c>
      <c r="O709" s="194" t="s">
        <v>256</v>
      </c>
      <c r="P709" s="211">
        <f t="shared" si="169"/>
        <v>1</v>
      </c>
      <c r="Q709" s="196">
        <f t="shared" si="162"/>
        <v>1030400000</v>
      </c>
      <c r="R709" s="196">
        <f t="shared" si="163"/>
        <v>1030400000</v>
      </c>
      <c r="S709" s="201" t="s">
        <v>217</v>
      </c>
      <c r="T709" s="211">
        <f t="shared" si="172"/>
        <v>0</v>
      </c>
      <c r="U709" s="198" t="str">
        <f t="shared" si="171"/>
        <v>SUBDIRECCION DE GESTION CONTRACTUAL</v>
      </c>
      <c r="V709" s="211" t="str">
        <f t="shared" si="167"/>
        <v>CO-DC</v>
      </c>
      <c r="W709" s="211" t="str">
        <f t="shared" si="168"/>
        <v>Distrito Capital de Bogotá</v>
      </c>
      <c r="X709" s="209" t="s">
        <v>512</v>
      </c>
      <c r="Y709" s="202">
        <v>2427400</v>
      </c>
      <c r="Z709" s="212" t="s">
        <v>154</v>
      </c>
      <c r="AA709" s="134"/>
      <c r="AB709" s="134"/>
      <c r="AC709" s="134"/>
      <c r="AD709" s="134"/>
      <c r="AE709" s="134"/>
      <c r="AF709" s="134"/>
      <c r="AG709" s="134"/>
      <c r="AH709" s="134"/>
      <c r="AI709" s="134"/>
      <c r="AJ709" s="134"/>
      <c r="AK709" s="134"/>
      <c r="AL709" s="134"/>
      <c r="AM709" s="134"/>
      <c r="AN709" s="134"/>
      <c r="AO709" s="134"/>
      <c r="AP709" s="134"/>
      <c r="AQ709" s="134"/>
      <c r="AR709" s="134"/>
      <c r="AS709" s="134"/>
      <c r="AT709" s="134"/>
      <c r="AU709" s="132"/>
      <c r="AV709" s="132"/>
      <c r="AW709" s="132"/>
      <c r="AX709" s="132"/>
      <c r="AY709" s="132"/>
      <c r="AZ709" s="132"/>
      <c r="BA709" s="132"/>
      <c r="BB709" s="132"/>
      <c r="BC709" s="132"/>
      <c r="BD709" s="132"/>
      <c r="BE709" s="132"/>
      <c r="BF709" s="132"/>
      <c r="BG709" s="132"/>
      <c r="BH709" s="132"/>
      <c r="BI709" s="132"/>
      <c r="BJ709" s="132"/>
      <c r="BK709" s="132"/>
      <c r="BL709" s="132"/>
      <c r="BM709" s="132"/>
      <c r="BN709" s="132"/>
      <c r="BO709" s="132"/>
      <c r="BP709" s="132"/>
      <c r="BQ709" s="132"/>
      <c r="BR709" s="132"/>
      <c r="BS709" s="132"/>
      <c r="BT709" s="132"/>
      <c r="BU709" s="132"/>
      <c r="BV709" s="132"/>
      <c r="BW709" s="132"/>
      <c r="BX709" s="132"/>
      <c r="BY709" s="132"/>
      <c r="BZ709" s="132"/>
      <c r="CA709" s="132"/>
      <c r="CB709" s="132"/>
      <c r="CC709" s="132"/>
      <c r="CD709" s="132"/>
      <c r="CE709" s="132"/>
      <c r="CF709" s="132"/>
      <c r="CG709" s="140"/>
    </row>
    <row r="710" spans="1:85" s="139" customFormat="1" ht="13.9" customHeight="1" x14ac:dyDescent="0.2">
      <c r="A710" s="208" t="s">
        <v>152</v>
      </c>
      <c r="B710" s="202">
        <v>56</v>
      </c>
      <c r="C710" s="203" t="s">
        <v>538</v>
      </c>
      <c r="D710" s="209" t="s">
        <v>153</v>
      </c>
      <c r="E710" s="210"/>
      <c r="F710" s="210">
        <v>147071700</v>
      </c>
      <c r="G710" s="210"/>
      <c r="H710" s="209" t="s">
        <v>703</v>
      </c>
      <c r="I710" s="203" t="s">
        <v>674</v>
      </c>
      <c r="J710" s="202">
        <v>1</v>
      </c>
      <c r="K710" s="202">
        <v>1</v>
      </c>
      <c r="L710" s="202">
        <v>12</v>
      </c>
      <c r="M710" s="185">
        <f t="shared" si="170"/>
        <v>1</v>
      </c>
      <c r="N710" s="193" t="s">
        <v>36</v>
      </c>
      <c r="O710" s="194" t="s">
        <v>256</v>
      </c>
      <c r="P710" s="211">
        <f t="shared" si="169"/>
        <v>1</v>
      </c>
      <c r="Q710" s="196">
        <f t="shared" si="162"/>
        <v>147071700</v>
      </c>
      <c r="R710" s="196">
        <f t="shared" si="163"/>
        <v>147071700</v>
      </c>
      <c r="S710" s="201" t="s">
        <v>217</v>
      </c>
      <c r="T710" s="211">
        <f t="shared" si="172"/>
        <v>0</v>
      </c>
      <c r="U710" s="198" t="str">
        <f t="shared" si="171"/>
        <v>SUBDIRECCION DE GESTION CONTRACTUAL</v>
      </c>
      <c r="V710" s="211" t="str">
        <f t="shared" si="167"/>
        <v>CO-DC</v>
      </c>
      <c r="W710" s="211" t="str">
        <f t="shared" si="168"/>
        <v>Distrito Capital de Bogotá</v>
      </c>
      <c r="X710" s="209" t="s">
        <v>512</v>
      </c>
      <c r="Y710" s="202">
        <v>2427400</v>
      </c>
      <c r="Z710" s="212" t="s">
        <v>154</v>
      </c>
      <c r="AA710" s="134"/>
      <c r="AB710" s="134"/>
      <c r="AC710" s="134"/>
      <c r="AD710" s="134"/>
      <c r="AE710" s="134"/>
      <c r="AF710" s="134"/>
      <c r="AG710" s="134"/>
      <c r="AH710" s="134"/>
      <c r="AI710" s="134"/>
      <c r="AJ710" s="134"/>
      <c r="AK710" s="134"/>
      <c r="AL710" s="134"/>
      <c r="AM710" s="134"/>
      <c r="AN710" s="134"/>
      <c r="AO710" s="134"/>
      <c r="AP710" s="134"/>
      <c r="AQ710" s="134"/>
      <c r="AR710" s="134"/>
      <c r="AS710" s="134"/>
      <c r="AT710" s="134"/>
      <c r="AU710" s="132"/>
      <c r="AV710" s="132"/>
      <c r="AW710" s="132"/>
      <c r="AX710" s="132"/>
      <c r="AY710" s="132"/>
      <c r="AZ710" s="132"/>
      <c r="BA710" s="132"/>
      <c r="BB710" s="132"/>
      <c r="BC710" s="132"/>
      <c r="BD710" s="132"/>
      <c r="BE710" s="132"/>
      <c r="BF710" s="132"/>
      <c r="BG710" s="132"/>
      <c r="BH710" s="132"/>
      <c r="BI710" s="132"/>
      <c r="BJ710" s="132"/>
      <c r="BK710" s="132"/>
      <c r="BL710" s="132"/>
      <c r="BM710" s="132"/>
      <c r="BN710" s="132"/>
      <c r="BO710" s="132"/>
      <c r="BP710" s="132"/>
      <c r="BQ710" s="132"/>
      <c r="BR710" s="132"/>
      <c r="BS710" s="132"/>
      <c r="BT710" s="132"/>
      <c r="BU710" s="132"/>
      <c r="BV710" s="132"/>
      <c r="BW710" s="132"/>
      <c r="BX710" s="132"/>
      <c r="BY710" s="132"/>
      <c r="BZ710" s="132"/>
      <c r="CA710" s="132"/>
      <c r="CB710" s="132"/>
      <c r="CC710" s="132"/>
      <c r="CD710" s="132"/>
      <c r="CE710" s="132"/>
      <c r="CF710" s="132"/>
      <c r="CG710" s="140"/>
    </row>
    <row r="711" spans="1:85" s="139" customFormat="1" ht="13.9" customHeight="1" x14ac:dyDescent="0.2">
      <c r="A711" s="208" t="s">
        <v>152</v>
      </c>
      <c r="B711" s="202">
        <v>57</v>
      </c>
      <c r="C711" s="203" t="s">
        <v>538</v>
      </c>
      <c r="D711" s="209" t="s">
        <v>153</v>
      </c>
      <c r="E711" s="210"/>
      <c r="F711" s="210">
        <v>448548607</v>
      </c>
      <c r="G711" s="210"/>
      <c r="H711" s="209" t="s">
        <v>707</v>
      </c>
      <c r="I711" s="203" t="s">
        <v>675</v>
      </c>
      <c r="J711" s="202">
        <v>1</v>
      </c>
      <c r="K711" s="202">
        <v>1</v>
      </c>
      <c r="L711" s="202">
        <v>12</v>
      </c>
      <c r="M711" s="185">
        <f t="shared" si="170"/>
        <v>1</v>
      </c>
      <c r="N711" s="193" t="s">
        <v>36</v>
      </c>
      <c r="O711" s="194" t="s">
        <v>256</v>
      </c>
      <c r="P711" s="211">
        <f t="shared" si="169"/>
        <v>1</v>
      </c>
      <c r="Q711" s="196">
        <f t="shared" si="162"/>
        <v>448548607</v>
      </c>
      <c r="R711" s="196">
        <f t="shared" si="163"/>
        <v>448548607</v>
      </c>
      <c r="S711" s="201" t="s">
        <v>217</v>
      </c>
      <c r="T711" s="211">
        <f t="shared" si="172"/>
        <v>0</v>
      </c>
      <c r="U711" s="198" t="str">
        <f t="shared" si="171"/>
        <v>SUBDIRECCION DE GESTION CONTRACTUAL</v>
      </c>
      <c r="V711" s="211" t="str">
        <f t="shared" si="167"/>
        <v>CO-DC</v>
      </c>
      <c r="W711" s="211" t="str">
        <f t="shared" si="168"/>
        <v>Distrito Capital de Bogotá</v>
      </c>
      <c r="X711" s="209" t="s">
        <v>512</v>
      </c>
      <c r="Y711" s="202">
        <v>2427400</v>
      </c>
      <c r="Z711" s="212" t="s">
        <v>154</v>
      </c>
      <c r="AA711" s="134"/>
      <c r="AB711" s="134"/>
      <c r="AC711" s="134"/>
      <c r="AD711" s="134"/>
      <c r="AE711" s="134"/>
      <c r="AF711" s="134"/>
      <c r="AG711" s="134"/>
      <c r="AH711" s="134"/>
      <c r="AI711" s="134"/>
      <c r="AJ711" s="134"/>
      <c r="AK711" s="134"/>
      <c r="AL711" s="134"/>
      <c r="AM711" s="134"/>
      <c r="AN711" s="134"/>
      <c r="AO711" s="134"/>
      <c r="AP711" s="134"/>
      <c r="AQ711" s="134"/>
      <c r="AR711" s="134"/>
      <c r="AS711" s="134"/>
      <c r="AT711" s="134"/>
      <c r="AU711" s="132"/>
      <c r="AV711" s="132"/>
      <c r="AW711" s="132"/>
      <c r="AX711" s="132"/>
      <c r="AY711" s="132"/>
      <c r="AZ711" s="132"/>
      <c r="BA711" s="132"/>
      <c r="BB711" s="132"/>
      <c r="BC711" s="132"/>
      <c r="BD711" s="132"/>
      <c r="BE711" s="132"/>
      <c r="BF711" s="132"/>
      <c r="BG711" s="132"/>
      <c r="BH711" s="132"/>
      <c r="BI711" s="132"/>
      <c r="BJ711" s="132"/>
      <c r="BK711" s="132"/>
      <c r="BL711" s="132"/>
      <c r="BM711" s="132"/>
      <c r="BN711" s="132"/>
      <c r="BO711" s="132"/>
      <c r="BP711" s="132"/>
      <c r="BQ711" s="132"/>
      <c r="BR711" s="132"/>
      <c r="BS711" s="132"/>
      <c r="BT711" s="132"/>
      <c r="BU711" s="132"/>
      <c r="BV711" s="132"/>
      <c r="BW711" s="132"/>
      <c r="BX711" s="132"/>
      <c r="BY711" s="132"/>
      <c r="BZ711" s="132"/>
      <c r="CA711" s="132"/>
      <c r="CB711" s="132"/>
      <c r="CC711" s="132"/>
      <c r="CD711" s="132"/>
      <c r="CE711" s="132"/>
      <c r="CF711" s="132"/>
      <c r="CG711" s="140"/>
    </row>
    <row r="712" spans="1:85" s="139" customFormat="1" ht="13.9" customHeight="1" x14ac:dyDescent="0.2">
      <c r="A712" s="208" t="s">
        <v>152</v>
      </c>
      <c r="B712" s="202">
        <v>58</v>
      </c>
      <c r="C712" s="203" t="s">
        <v>538</v>
      </c>
      <c r="D712" s="209" t="s">
        <v>153</v>
      </c>
      <c r="E712" s="210"/>
      <c r="F712" s="210">
        <v>414000000</v>
      </c>
      <c r="G712" s="210"/>
      <c r="H712" s="209" t="s">
        <v>703</v>
      </c>
      <c r="I712" s="203" t="s">
        <v>676</v>
      </c>
      <c r="J712" s="202">
        <v>1</v>
      </c>
      <c r="K712" s="202">
        <v>1</v>
      </c>
      <c r="L712" s="202">
        <v>12</v>
      </c>
      <c r="M712" s="185">
        <f t="shared" si="170"/>
        <v>1</v>
      </c>
      <c r="N712" s="193" t="s">
        <v>36</v>
      </c>
      <c r="O712" s="194" t="s">
        <v>256</v>
      </c>
      <c r="P712" s="211">
        <f t="shared" si="169"/>
        <v>1</v>
      </c>
      <c r="Q712" s="196">
        <f t="shared" si="162"/>
        <v>414000000</v>
      </c>
      <c r="R712" s="196">
        <f t="shared" si="163"/>
        <v>414000000</v>
      </c>
      <c r="S712" s="201" t="s">
        <v>217</v>
      </c>
      <c r="T712" s="211">
        <f t="shared" si="172"/>
        <v>0</v>
      </c>
      <c r="U712" s="198" t="str">
        <f t="shared" si="171"/>
        <v>SUBDIRECCION DE GESTION CONTRACTUAL</v>
      </c>
      <c r="V712" s="211" t="str">
        <f t="shared" si="167"/>
        <v>CO-DC</v>
      </c>
      <c r="W712" s="211" t="str">
        <f t="shared" si="168"/>
        <v>Distrito Capital de Bogotá</v>
      </c>
      <c r="X712" s="209" t="s">
        <v>512</v>
      </c>
      <c r="Y712" s="202">
        <v>2427400</v>
      </c>
      <c r="Z712" s="212" t="s">
        <v>154</v>
      </c>
      <c r="AA712" s="134"/>
      <c r="AB712" s="134"/>
      <c r="AC712" s="134"/>
      <c r="AD712" s="134"/>
      <c r="AE712" s="134"/>
      <c r="AF712" s="134"/>
      <c r="AG712" s="134"/>
      <c r="AH712" s="134"/>
      <c r="AI712" s="134"/>
      <c r="AJ712" s="134"/>
      <c r="AK712" s="134"/>
      <c r="AL712" s="134"/>
      <c r="AM712" s="134"/>
      <c r="AN712" s="134"/>
      <c r="AO712" s="134"/>
      <c r="AP712" s="134"/>
      <c r="AQ712" s="134"/>
      <c r="AR712" s="134"/>
      <c r="AS712" s="134"/>
      <c r="AT712" s="134"/>
      <c r="AU712" s="132"/>
      <c r="AV712" s="132"/>
      <c r="AW712" s="132"/>
      <c r="AX712" s="132"/>
      <c r="AY712" s="132"/>
      <c r="AZ712" s="132"/>
      <c r="BA712" s="132"/>
      <c r="BB712" s="132"/>
      <c r="BC712" s="132"/>
      <c r="BD712" s="132"/>
      <c r="BE712" s="132"/>
      <c r="BF712" s="132"/>
      <c r="BG712" s="132"/>
      <c r="BH712" s="132"/>
      <c r="BI712" s="132"/>
      <c r="BJ712" s="132"/>
      <c r="BK712" s="132"/>
      <c r="BL712" s="132"/>
      <c r="BM712" s="132"/>
      <c r="BN712" s="132"/>
      <c r="BO712" s="132"/>
      <c r="BP712" s="132"/>
      <c r="BQ712" s="132"/>
      <c r="BR712" s="132"/>
      <c r="BS712" s="132"/>
      <c r="BT712" s="132"/>
      <c r="BU712" s="132"/>
      <c r="BV712" s="132"/>
      <c r="BW712" s="132"/>
      <c r="BX712" s="132"/>
      <c r="BY712" s="132"/>
      <c r="BZ712" s="132"/>
      <c r="CA712" s="132"/>
      <c r="CB712" s="132"/>
      <c r="CC712" s="132"/>
      <c r="CD712" s="132"/>
      <c r="CE712" s="132"/>
      <c r="CF712" s="132"/>
      <c r="CG712" s="140"/>
    </row>
    <row r="713" spans="1:85" s="139" customFormat="1" ht="13.9" customHeight="1" x14ac:dyDescent="0.2">
      <c r="A713" s="208" t="s">
        <v>152</v>
      </c>
      <c r="B713" s="202">
        <v>59</v>
      </c>
      <c r="C713" s="203" t="s">
        <v>538</v>
      </c>
      <c r="D713" s="209" t="s">
        <v>153</v>
      </c>
      <c r="E713" s="210"/>
      <c r="F713" s="210">
        <v>514750950</v>
      </c>
      <c r="G713" s="210"/>
      <c r="H713" s="209" t="s">
        <v>703</v>
      </c>
      <c r="I713" s="203" t="s">
        <v>677</v>
      </c>
      <c r="J713" s="202">
        <v>1</v>
      </c>
      <c r="K713" s="202">
        <v>1</v>
      </c>
      <c r="L713" s="202">
        <v>12</v>
      </c>
      <c r="M713" s="185">
        <f t="shared" si="170"/>
        <v>1</v>
      </c>
      <c r="N713" s="193" t="s">
        <v>36</v>
      </c>
      <c r="O713" s="194" t="s">
        <v>256</v>
      </c>
      <c r="P713" s="211">
        <f t="shared" si="169"/>
        <v>1</v>
      </c>
      <c r="Q713" s="196">
        <f t="shared" si="162"/>
        <v>514750950</v>
      </c>
      <c r="R713" s="196">
        <f t="shared" si="163"/>
        <v>514750950</v>
      </c>
      <c r="S713" s="201" t="s">
        <v>217</v>
      </c>
      <c r="T713" s="211">
        <f t="shared" si="172"/>
        <v>0</v>
      </c>
      <c r="U713" s="198" t="str">
        <f t="shared" si="171"/>
        <v>SUBDIRECCION DE GESTION CONTRACTUAL</v>
      </c>
      <c r="V713" s="211" t="str">
        <f t="shared" si="167"/>
        <v>CO-DC</v>
      </c>
      <c r="W713" s="211" t="str">
        <f t="shared" si="168"/>
        <v>Distrito Capital de Bogotá</v>
      </c>
      <c r="X713" s="209" t="s">
        <v>512</v>
      </c>
      <c r="Y713" s="202">
        <v>2427400</v>
      </c>
      <c r="Z713" s="212" t="s">
        <v>154</v>
      </c>
      <c r="AA713" s="134"/>
      <c r="AB713" s="134"/>
      <c r="AC713" s="134"/>
      <c r="AD713" s="134"/>
      <c r="AE713" s="134"/>
      <c r="AF713" s="134"/>
      <c r="AG713" s="134"/>
      <c r="AH713" s="134"/>
      <c r="AI713" s="134"/>
      <c r="AJ713" s="134"/>
      <c r="AK713" s="134"/>
      <c r="AL713" s="134"/>
      <c r="AM713" s="134"/>
      <c r="AN713" s="134"/>
      <c r="AO713" s="134"/>
      <c r="AP713" s="134"/>
      <c r="AQ713" s="134"/>
      <c r="AR713" s="134"/>
      <c r="AS713" s="134"/>
      <c r="AT713" s="134"/>
      <c r="AU713" s="132"/>
      <c r="AV713" s="132"/>
      <c r="AW713" s="132"/>
      <c r="AX713" s="132"/>
      <c r="AY713" s="132"/>
      <c r="AZ713" s="132"/>
      <c r="BA713" s="132"/>
      <c r="BB713" s="132"/>
      <c r="BC713" s="132"/>
      <c r="BD713" s="132"/>
      <c r="BE713" s="132"/>
      <c r="BF713" s="132"/>
      <c r="BG713" s="132"/>
      <c r="BH713" s="132"/>
      <c r="BI713" s="132"/>
      <c r="BJ713" s="132"/>
      <c r="BK713" s="132"/>
      <c r="BL713" s="132"/>
      <c r="BM713" s="132"/>
      <c r="BN713" s="132"/>
      <c r="BO713" s="132"/>
      <c r="BP713" s="132"/>
      <c r="BQ713" s="132"/>
      <c r="BR713" s="132"/>
      <c r="BS713" s="132"/>
      <c r="BT713" s="132"/>
      <c r="BU713" s="132"/>
      <c r="BV713" s="132"/>
      <c r="BW713" s="132"/>
      <c r="BX713" s="132"/>
      <c r="BY713" s="132"/>
      <c r="BZ713" s="132"/>
      <c r="CA713" s="132"/>
      <c r="CB713" s="132"/>
      <c r="CC713" s="132"/>
      <c r="CD713" s="132"/>
      <c r="CE713" s="132"/>
      <c r="CF713" s="132"/>
      <c r="CG713" s="140"/>
    </row>
    <row r="714" spans="1:85" s="139" customFormat="1" ht="13.9" customHeight="1" x14ac:dyDescent="0.2">
      <c r="A714" s="208" t="s">
        <v>152</v>
      </c>
      <c r="B714" s="202">
        <v>60</v>
      </c>
      <c r="C714" s="203" t="s">
        <v>538</v>
      </c>
      <c r="D714" s="209" t="s">
        <v>153</v>
      </c>
      <c r="E714" s="210"/>
      <c r="F714" s="210">
        <v>215180000</v>
      </c>
      <c r="G714" s="210"/>
      <c r="H714" s="209" t="s">
        <v>703</v>
      </c>
      <c r="I714" s="203" t="s">
        <v>678</v>
      </c>
      <c r="J714" s="202">
        <v>1</v>
      </c>
      <c r="K714" s="202">
        <v>1</v>
      </c>
      <c r="L714" s="202">
        <v>12</v>
      </c>
      <c r="M714" s="185">
        <f t="shared" si="170"/>
        <v>1</v>
      </c>
      <c r="N714" s="193" t="s">
        <v>36</v>
      </c>
      <c r="O714" s="194" t="s">
        <v>256</v>
      </c>
      <c r="P714" s="211">
        <f t="shared" si="169"/>
        <v>1</v>
      </c>
      <c r="Q714" s="196">
        <f t="shared" si="162"/>
        <v>215180000</v>
      </c>
      <c r="R714" s="196">
        <f t="shared" si="163"/>
        <v>215180000</v>
      </c>
      <c r="S714" s="201" t="s">
        <v>217</v>
      </c>
      <c r="T714" s="211">
        <f t="shared" si="172"/>
        <v>0</v>
      </c>
      <c r="U714" s="198" t="str">
        <f t="shared" si="171"/>
        <v>SUBDIRECCION DE GESTION CONTRACTUAL</v>
      </c>
      <c r="V714" s="211" t="str">
        <f t="shared" si="167"/>
        <v>CO-DC</v>
      </c>
      <c r="W714" s="211" t="str">
        <f t="shared" si="168"/>
        <v>Distrito Capital de Bogotá</v>
      </c>
      <c r="X714" s="209" t="s">
        <v>512</v>
      </c>
      <c r="Y714" s="202">
        <v>2427400</v>
      </c>
      <c r="Z714" s="212" t="s">
        <v>154</v>
      </c>
      <c r="AA714" s="134"/>
      <c r="AB714" s="134"/>
      <c r="AC714" s="134"/>
      <c r="AD714" s="134"/>
      <c r="AE714" s="134"/>
      <c r="AF714" s="134"/>
      <c r="AG714" s="134"/>
      <c r="AH714" s="134"/>
      <c r="AI714" s="134"/>
      <c r="AJ714" s="134"/>
      <c r="AK714" s="134"/>
      <c r="AL714" s="134"/>
      <c r="AM714" s="134"/>
      <c r="AN714" s="134"/>
      <c r="AO714" s="134"/>
      <c r="AP714" s="134"/>
      <c r="AQ714" s="134"/>
      <c r="AR714" s="134"/>
      <c r="AS714" s="134"/>
      <c r="AT714" s="134"/>
      <c r="AU714" s="132"/>
      <c r="AV714" s="132"/>
      <c r="AW714" s="132"/>
      <c r="AX714" s="132"/>
      <c r="AY714" s="132"/>
      <c r="AZ714" s="132"/>
      <c r="BA714" s="132"/>
      <c r="BB714" s="132"/>
      <c r="BC714" s="132"/>
      <c r="BD714" s="132"/>
      <c r="BE714" s="132"/>
      <c r="BF714" s="132"/>
      <c r="BG714" s="132"/>
      <c r="BH714" s="132"/>
      <c r="BI714" s="132"/>
      <c r="BJ714" s="132"/>
      <c r="BK714" s="132"/>
      <c r="BL714" s="132"/>
      <c r="BM714" s="132"/>
      <c r="BN714" s="132"/>
      <c r="BO714" s="132"/>
      <c r="BP714" s="132"/>
      <c r="BQ714" s="132"/>
      <c r="BR714" s="132"/>
      <c r="BS714" s="132"/>
      <c r="BT714" s="132"/>
      <c r="BU714" s="132"/>
      <c r="BV714" s="132"/>
      <c r="BW714" s="132"/>
      <c r="BX714" s="132"/>
      <c r="BY714" s="132"/>
      <c r="BZ714" s="132"/>
      <c r="CA714" s="132"/>
      <c r="CB714" s="132"/>
      <c r="CC714" s="132"/>
      <c r="CD714" s="132"/>
      <c r="CE714" s="132"/>
      <c r="CF714" s="132"/>
      <c r="CG714" s="140"/>
    </row>
    <row r="715" spans="1:85" s="139" customFormat="1" ht="13.9" customHeight="1" x14ac:dyDescent="0.2">
      <c r="A715" s="208" t="s">
        <v>152</v>
      </c>
      <c r="B715" s="202">
        <v>61</v>
      </c>
      <c r="C715" s="203" t="s">
        <v>538</v>
      </c>
      <c r="D715" s="209" t="s">
        <v>153</v>
      </c>
      <c r="E715" s="210"/>
      <c r="F715" s="210">
        <v>6901188760</v>
      </c>
      <c r="G715" s="210"/>
      <c r="H715" s="209" t="s">
        <v>707</v>
      </c>
      <c r="I715" s="203" t="s">
        <v>679</v>
      </c>
      <c r="J715" s="202">
        <v>1</v>
      </c>
      <c r="K715" s="202">
        <v>1</v>
      </c>
      <c r="L715" s="202">
        <v>12</v>
      </c>
      <c r="M715" s="185">
        <f t="shared" si="170"/>
        <v>1</v>
      </c>
      <c r="N715" s="193" t="s">
        <v>36</v>
      </c>
      <c r="O715" s="194" t="s">
        <v>256</v>
      </c>
      <c r="P715" s="211">
        <f t="shared" si="169"/>
        <v>1</v>
      </c>
      <c r="Q715" s="196">
        <f t="shared" si="162"/>
        <v>6901188760</v>
      </c>
      <c r="R715" s="196">
        <f t="shared" si="163"/>
        <v>6901188760</v>
      </c>
      <c r="S715" s="201" t="s">
        <v>217</v>
      </c>
      <c r="T715" s="211">
        <f t="shared" si="172"/>
        <v>0</v>
      </c>
      <c r="U715" s="198" t="str">
        <f t="shared" si="171"/>
        <v>SUBDIRECCION DE GESTION CONTRACTUAL</v>
      </c>
      <c r="V715" s="211" t="str">
        <f t="shared" si="167"/>
        <v>CO-DC</v>
      </c>
      <c r="W715" s="211" t="str">
        <f t="shared" si="168"/>
        <v>Distrito Capital de Bogotá</v>
      </c>
      <c r="X715" s="209" t="s">
        <v>512</v>
      </c>
      <c r="Y715" s="202">
        <v>2427400</v>
      </c>
      <c r="Z715" s="212" t="s">
        <v>154</v>
      </c>
      <c r="AA715" s="134"/>
      <c r="AB715" s="134"/>
      <c r="AC715" s="134"/>
      <c r="AD715" s="134"/>
      <c r="AE715" s="134"/>
      <c r="AF715" s="134"/>
      <c r="AG715" s="134"/>
      <c r="AH715" s="134"/>
      <c r="AI715" s="134"/>
      <c r="AJ715" s="134"/>
      <c r="AK715" s="134"/>
      <c r="AL715" s="134"/>
      <c r="AM715" s="134"/>
      <c r="AN715" s="134"/>
      <c r="AO715" s="134"/>
      <c r="AP715" s="134"/>
      <c r="AQ715" s="134"/>
      <c r="AR715" s="134"/>
      <c r="AS715" s="134"/>
      <c r="AT715" s="134"/>
      <c r="AU715" s="132"/>
      <c r="AV715" s="132"/>
      <c r="AW715" s="132"/>
      <c r="AX715" s="132"/>
      <c r="AY715" s="132"/>
      <c r="AZ715" s="132"/>
      <c r="BA715" s="132"/>
      <c r="BB715" s="132"/>
      <c r="BC715" s="132"/>
      <c r="BD715" s="132"/>
      <c r="BE715" s="132"/>
      <c r="BF715" s="132"/>
      <c r="BG715" s="132"/>
      <c r="BH715" s="132"/>
      <c r="BI715" s="132"/>
      <c r="BJ715" s="132"/>
      <c r="BK715" s="132"/>
      <c r="BL715" s="132"/>
      <c r="BM715" s="132"/>
      <c r="BN715" s="132"/>
      <c r="BO715" s="132"/>
      <c r="BP715" s="132"/>
      <c r="BQ715" s="132"/>
      <c r="BR715" s="132"/>
      <c r="BS715" s="132"/>
      <c r="BT715" s="132"/>
      <c r="BU715" s="132"/>
      <c r="BV715" s="132"/>
      <c r="BW715" s="132"/>
      <c r="BX715" s="132"/>
      <c r="BY715" s="132"/>
      <c r="BZ715" s="132"/>
      <c r="CA715" s="132"/>
      <c r="CB715" s="132"/>
      <c r="CC715" s="132"/>
      <c r="CD715" s="132"/>
      <c r="CE715" s="132"/>
      <c r="CF715" s="132"/>
      <c r="CG715" s="140"/>
    </row>
    <row r="716" spans="1:85" s="7" customFormat="1" ht="12.75" customHeight="1" x14ac:dyDescent="0.2">
      <c r="A716" s="208" t="s">
        <v>152</v>
      </c>
      <c r="B716" s="202">
        <v>62</v>
      </c>
      <c r="C716" s="203" t="s">
        <v>538</v>
      </c>
      <c r="D716" s="209" t="s">
        <v>153</v>
      </c>
      <c r="E716" s="210"/>
      <c r="F716" s="210">
        <v>441215100</v>
      </c>
      <c r="G716" s="210"/>
      <c r="H716" s="209" t="s">
        <v>703</v>
      </c>
      <c r="I716" s="203" t="s">
        <v>680</v>
      </c>
      <c r="J716" s="202">
        <v>1</v>
      </c>
      <c r="K716" s="202">
        <v>1</v>
      </c>
      <c r="L716" s="202">
        <v>12</v>
      </c>
      <c r="M716" s="185">
        <f t="shared" si="170"/>
        <v>1</v>
      </c>
      <c r="N716" s="193" t="s">
        <v>36</v>
      </c>
      <c r="O716" s="194" t="s">
        <v>256</v>
      </c>
      <c r="P716" s="211">
        <f t="shared" si="169"/>
        <v>1</v>
      </c>
      <c r="Q716" s="196">
        <f t="shared" si="162"/>
        <v>441215100</v>
      </c>
      <c r="R716" s="196">
        <f t="shared" si="163"/>
        <v>441215100</v>
      </c>
      <c r="S716" s="201" t="s">
        <v>217</v>
      </c>
      <c r="T716" s="211">
        <f t="shared" si="172"/>
        <v>0</v>
      </c>
      <c r="U716" s="198" t="str">
        <f t="shared" si="171"/>
        <v>SUBDIRECCION DE GESTION CONTRACTUAL</v>
      </c>
      <c r="V716" s="211" t="str">
        <f t="shared" si="167"/>
        <v>CO-DC</v>
      </c>
      <c r="W716" s="211" t="str">
        <f t="shared" si="168"/>
        <v>Distrito Capital de Bogotá</v>
      </c>
      <c r="X716" s="209" t="s">
        <v>512</v>
      </c>
      <c r="Y716" s="202">
        <v>2427400</v>
      </c>
      <c r="Z716" s="212" t="s">
        <v>154</v>
      </c>
    </row>
    <row r="717" spans="1:85" s="7" customFormat="1" ht="12.75" customHeight="1" x14ac:dyDescent="0.2">
      <c r="A717" s="208" t="s">
        <v>152</v>
      </c>
      <c r="B717" s="202">
        <v>63</v>
      </c>
      <c r="C717" s="203" t="s">
        <v>538</v>
      </c>
      <c r="D717" s="209" t="s">
        <v>153</v>
      </c>
      <c r="E717" s="210"/>
      <c r="F717" s="210">
        <v>448224357</v>
      </c>
      <c r="G717" s="210"/>
      <c r="H717" s="209" t="s">
        <v>703</v>
      </c>
      <c r="I717" s="203" t="s">
        <v>681</v>
      </c>
      <c r="J717" s="202">
        <v>1</v>
      </c>
      <c r="K717" s="202">
        <v>1</v>
      </c>
      <c r="L717" s="202">
        <v>12</v>
      </c>
      <c r="M717" s="185">
        <f t="shared" si="170"/>
        <v>1</v>
      </c>
      <c r="N717" s="193" t="s">
        <v>36</v>
      </c>
      <c r="O717" s="194" t="s">
        <v>256</v>
      </c>
      <c r="P717" s="211">
        <f t="shared" si="169"/>
        <v>1</v>
      </c>
      <c r="Q717" s="196">
        <f t="shared" si="162"/>
        <v>448224357</v>
      </c>
      <c r="R717" s="196">
        <f t="shared" si="163"/>
        <v>448224357</v>
      </c>
      <c r="S717" s="201" t="s">
        <v>217</v>
      </c>
      <c r="T717" s="211">
        <f t="shared" si="172"/>
        <v>0</v>
      </c>
      <c r="U717" s="198" t="str">
        <f t="shared" si="171"/>
        <v>SUBDIRECCION DE GESTION CONTRACTUAL</v>
      </c>
      <c r="V717" s="211" t="str">
        <f t="shared" si="167"/>
        <v>CO-DC</v>
      </c>
      <c r="W717" s="211" t="str">
        <f t="shared" si="168"/>
        <v>Distrito Capital de Bogotá</v>
      </c>
      <c r="X717" s="209" t="s">
        <v>512</v>
      </c>
      <c r="Y717" s="202">
        <v>2427400</v>
      </c>
      <c r="Z717" s="212" t="s">
        <v>154</v>
      </c>
    </row>
    <row r="718" spans="1:85" s="7" customFormat="1" ht="12.75" customHeight="1" x14ac:dyDescent="0.2">
      <c r="A718" s="208" t="s">
        <v>152</v>
      </c>
      <c r="B718" s="202">
        <v>64</v>
      </c>
      <c r="C718" s="203" t="s">
        <v>538</v>
      </c>
      <c r="D718" s="209" t="s">
        <v>153</v>
      </c>
      <c r="E718" s="210"/>
      <c r="F718" s="210">
        <v>205000000</v>
      </c>
      <c r="G718" s="210"/>
      <c r="H718" s="209" t="s">
        <v>703</v>
      </c>
      <c r="I718" s="203" t="s">
        <v>682</v>
      </c>
      <c r="J718" s="202">
        <v>1</v>
      </c>
      <c r="K718" s="202">
        <v>1</v>
      </c>
      <c r="L718" s="202">
        <v>12</v>
      </c>
      <c r="M718" s="185">
        <f t="shared" si="170"/>
        <v>1</v>
      </c>
      <c r="N718" s="193" t="s">
        <v>36</v>
      </c>
      <c r="O718" s="194" t="s">
        <v>256</v>
      </c>
      <c r="P718" s="211">
        <f t="shared" si="169"/>
        <v>1</v>
      </c>
      <c r="Q718" s="196">
        <f t="shared" si="162"/>
        <v>205000000</v>
      </c>
      <c r="R718" s="196">
        <f t="shared" si="163"/>
        <v>205000000</v>
      </c>
      <c r="S718" s="201" t="s">
        <v>217</v>
      </c>
      <c r="T718" s="211">
        <f t="shared" si="172"/>
        <v>0</v>
      </c>
      <c r="U718" s="198" t="str">
        <f t="shared" si="171"/>
        <v>SUBDIRECCION DE GESTION CONTRACTUAL</v>
      </c>
      <c r="V718" s="211" t="str">
        <f t="shared" ref="V718:V749" si="173">IF(ISBLANK(N718),"","CO-DC")</f>
        <v>CO-DC</v>
      </c>
      <c r="W718" s="211" t="str">
        <f t="shared" ref="W718:W749" si="174">IF(ISBLANK(N718),"","Distrito Capital de Bogotá")</f>
        <v>Distrito Capital de Bogotá</v>
      </c>
      <c r="X718" s="209" t="s">
        <v>512</v>
      </c>
      <c r="Y718" s="202">
        <v>2427400</v>
      </c>
      <c r="Z718" s="212" t="s">
        <v>154</v>
      </c>
    </row>
    <row r="719" spans="1:85" s="7" customFormat="1" ht="12.75" customHeight="1" x14ac:dyDescent="0.2">
      <c r="A719" s="208" t="s">
        <v>152</v>
      </c>
      <c r="B719" s="202">
        <v>65</v>
      </c>
      <c r="C719" s="203" t="s">
        <v>538</v>
      </c>
      <c r="D719" s="209" t="s">
        <v>153</v>
      </c>
      <c r="E719" s="210"/>
      <c r="F719" s="210">
        <v>147071700</v>
      </c>
      <c r="G719" s="210"/>
      <c r="H719" s="209" t="s">
        <v>703</v>
      </c>
      <c r="I719" s="203" t="s">
        <v>683</v>
      </c>
      <c r="J719" s="202">
        <v>1</v>
      </c>
      <c r="K719" s="202">
        <v>1</v>
      </c>
      <c r="L719" s="202">
        <v>12</v>
      </c>
      <c r="M719" s="185">
        <f t="shared" si="170"/>
        <v>1</v>
      </c>
      <c r="N719" s="193" t="s">
        <v>36</v>
      </c>
      <c r="O719" s="194" t="s">
        <v>256</v>
      </c>
      <c r="P719" s="211">
        <f t="shared" ref="P719:P750" si="175">IF(ISBLANK(N719),"",1)</f>
        <v>1</v>
      </c>
      <c r="Q719" s="196">
        <f t="shared" si="162"/>
        <v>147071700</v>
      </c>
      <c r="R719" s="196">
        <f t="shared" si="163"/>
        <v>147071700</v>
      </c>
      <c r="S719" s="201" t="s">
        <v>217</v>
      </c>
      <c r="T719" s="211">
        <f t="shared" si="172"/>
        <v>0</v>
      </c>
      <c r="U719" s="198" t="str">
        <f t="shared" si="171"/>
        <v>SUBDIRECCION DE GESTION CONTRACTUAL</v>
      </c>
      <c r="V719" s="211" t="str">
        <f t="shared" si="173"/>
        <v>CO-DC</v>
      </c>
      <c r="W719" s="211" t="str">
        <f t="shared" si="174"/>
        <v>Distrito Capital de Bogotá</v>
      </c>
      <c r="X719" s="209" t="s">
        <v>512</v>
      </c>
      <c r="Y719" s="202">
        <v>2427400</v>
      </c>
      <c r="Z719" s="212" t="s">
        <v>154</v>
      </c>
    </row>
    <row r="720" spans="1:85" s="7" customFormat="1" ht="12.75" customHeight="1" x14ac:dyDescent="0.2">
      <c r="A720" s="208" t="s">
        <v>152</v>
      </c>
      <c r="B720" s="202">
        <v>66</v>
      </c>
      <c r="C720" s="203" t="s">
        <v>538</v>
      </c>
      <c r="D720" s="209" t="s">
        <v>153</v>
      </c>
      <c r="E720" s="210"/>
      <c r="F720" s="210">
        <v>1234271534</v>
      </c>
      <c r="G720" s="210"/>
      <c r="H720" s="209" t="s">
        <v>707</v>
      </c>
      <c r="I720" s="203" t="s">
        <v>684</v>
      </c>
      <c r="J720" s="202">
        <v>1</v>
      </c>
      <c r="K720" s="202">
        <v>1</v>
      </c>
      <c r="L720" s="202">
        <v>12</v>
      </c>
      <c r="M720" s="185">
        <f t="shared" si="170"/>
        <v>1</v>
      </c>
      <c r="N720" s="193" t="s">
        <v>36</v>
      </c>
      <c r="O720" s="194" t="s">
        <v>256</v>
      </c>
      <c r="P720" s="211">
        <f t="shared" si="175"/>
        <v>1</v>
      </c>
      <c r="Q720" s="196">
        <f t="shared" si="162"/>
        <v>1234271534</v>
      </c>
      <c r="R720" s="196">
        <f t="shared" si="163"/>
        <v>1234271534</v>
      </c>
      <c r="S720" s="201" t="s">
        <v>217</v>
      </c>
      <c r="T720" s="211">
        <f t="shared" si="172"/>
        <v>0</v>
      </c>
      <c r="U720" s="198" t="str">
        <f t="shared" si="171"/>
        <v>SUBDIRECCION DE GESTION CONTRACTUAL</v>
      </c>
      <c r="V720" s="211" t="str">
        <f t="shared" si="173"/>
        <v>CO-DC</v>
      </c>
      <c r="W720" s="211" t="str">
        <f t="shared" si="174"/>
        <v>Distrito Capital de Bogotá</v>
      </c>
      <c r="X720" s="209" t="s">
        <v>512</v>
      </c>
      <c r="Y720" s="202">
        <v>2427400</v>
      </c>
      <c r="Z720" s="212" t="s">
        <v>154</v>
      </c>
    </row>
    <row r="721" spans="1:85" s="139" customFormat="1" ht="13.9" customHeight="1" x14ac:dyDescent="0.2">
      <c r="A721" s="208" t="s">
        <v>152</v>
      </c>
      <c r="B721" s="202">
        <v>67</v>
      </c>
      <c r="C721" s="203" t="s">
        <v>538</v>
      </c>
      <c r="D721" s="209" t="s">
        <v>153</v>
      </c>
      <c r="E721" s="210"/>
      <c r="F721" s="210">
        <v>147071700</v>
      </c>
      <c r="G721" s="210"/>
      <c r="H721" s="209" t="s">
        <v>703</v>
      </c>
      <c r="I721" s="203" t="s">
        <v>685</v>
      </c>
      <c r="J721" s="202">
        <v>1</v>
      </c>
      <c r="K721" s="202">
        <v>1</v>
      </c>
      <c r="L721" s="202">
        <v>12</v>
      </c>
      <c r="M721" s="185">
        <f t="shared" si="170"/>
        <v>1</v>
      </c>
      <c r="N721" s="193" t="s">
        <v>36</v>
      </c>
      <c r="O721" s="194" t="s">
        <v>256</v>
      </c>
      <c r="P721" s="211">
        <f t="shared" si="175"/>
        <v>1</v>
      </c>
      <c r="Q721" s="196">
        <f t="shared" si="162"/>
        <v>147071700</v>
      </c>
      <c r="R721" s="196">
        <f t="shared" si="163"/>
        <v>147071700</v>
      </c>
      <c r="S721" s="201" t="s">
        <v>217</v>
      </c>
      <c r="T721" s="211">
        <f t="shared" si="172"/>
        <v>0</v>
      </c>
      <c r="U721" s="198" t="str">
        <f t="shared" si="171"/>
        <v>SUBDIRECCION DE GESTION CONTRACTUAL</v>
      </c>
      <c r="V721" s="211" t="str">
        <f t="shared" si="173"/>
        <v>CO-DC</v>
      </c>
      <c r="W721" s="211" t="str">
        <f t="shared" si="174"/>
        <v>Distrito Capital de Bogotá</v>
      </c>
      <c r="X721" s="209" t="s">
        <v>512</v>
      </c>
      <c r="Y721" s="202">
        <v>2427400</v>
      </c>
      <c r="Z721" s="212" t="s">
        <v>154</v>
      </c>
      <c r="AA721" s="134"/>
      <c r="AB721" s="134"/>
      <c r="AC721" s="134"/>
      <c r="AD721" s="134"/>
      <c r="AE721" s="134"/>
      <c r="AF721" s="134"/>
      <c r="AG721" s="134"/>
      <c r="AH721" s="134"/>
      <c r="AI721" s="134"/>
      <c r="AJ721" s="134"/>
      <c r="AK721" s="134"/>
      <c r="AL721" s="134"/>
      <c r="AM721" s="134"/>
      <c r="AN721" s="134"/>
      <c r="AO721" s="134"/>
      <c r="AP721" s="134"/>
      <c r="AQ721" s="134"/>
      <c r="AR721" s="134"/>
      <c r="AS721" s="134"/>
      <c r="AT721" s="134"/>
      <c r="AU721" s="132"/>
      <c r="AV721" s="132"/>
      <c r="AW721" s="132"/>
      <c r="AX721" s="132"/>
      <c r="AY721" s="132"/>
      <c r="AZ721" s="132"/>
      <c r="BA721" s="132"/>
      <c r="BB721" s="132"/>
      <c r="BC721" s="132"/>
      <c r="BD721" s="132"/>
      <c r="BE721" s="132"/>
      <c r="BF721" s="132"/>
      <c r="BG721" s="132"/>
      <c r="BH721" s="132"/>
      <c r="BI721" s="132"/>
      <c r="BJ721" s="132"/>
      <c r="BK721" s="132"/>
      <c r="BL721" s="132"/>
      <c r="BM721" s="132"/>
      <c r="BN721" s="132"/>
      <c r="BO721" s="132"/>
      <c r="BP721" s="132"/>
      <c r="BQ721" s="132"/>
      <c r="BR721" s="132"/>
      <c r="BS721" s="132"/>
      <c r="BT721" s="132"/>
      <c r="BU721" s="132"/>
      <c r="BV721" s="132"/>
      <c r="BW721" s="132"/>
      <c r="BX721" s="132"/>
      <c r="BY721" s="132"/>
      <c r="BZ721" s="132"/>
      <c r="CA721" s="132"/>
      <c r="CB721" s="132"/>
      <c r="CC721" s="132"/>
      <c r="CD721" s="132"/>
      <c r="CE721" s="132"/>
      <c r="CF721" s="132"/>
      <c r="CG721" s="140"/>
    </row>
    <row r="722" spans="1:85" s="139" customFormat="1" ht="13.9" customHeight="1" x14ac:dyDescent="0.2">
      <c r="A722" s="208" t="s">
        <v>152</v>
      </c>
      <c r="B722" s="202">
        <v>68</v>
      </c>
      <c r="C722" s="203" t="s">
        <v>538</v>
      </c>
      <c r="D722" s="209" t="s">
        <v>153</v>
      </c>
      <c r="E722" s="210"/>
      <c r="F722" s="210">
        <v>700000000</v>
      </c>
      <c r="G722" s="210"/>
      <c r="H722" s="209" t="s">
        <v>703</v>
      </c>
      <c r="I722" s="203" t="s">
        <v>686</v>
      </c>
      <c r="J722" s="202">
        <v>1</v>
      </c>
      <c r="K722" s="202">
        <v>1</v>
      </c>
      <c r="L722" s="202">
        <v>12</v>
      </c>
      <c r="M722" s="185">
        <f t="shared" si="170"/>
        <v>1</v>
      </c>
      <c r="N722" s="193" t="s">
        <v>36</v>
      </c>
      <c r="O722" s="194" t="s">
        <v>256</v>
      </c>
      <c r="P722" s="211">
        <f t="shared" si="175"/>
        <v>1</v>
      </c>
      <c r="Q722" s="196">
        <f t="shared" si="162"/>
        <v>700000000</v>
      </c>
      <c r="R722" s="196">
        <f t="shared" si="163"/>
        <v>700000000</v>
      </c>
      <c r="S722" s="201" t="s">
        <v>217</v>
      </c>
      <c r="T722" s="211">
        <f t="shared" si="172"/>
        <v>0</v>
      </c>
      <c r="U722" s="198" t="str">
        <f t="shared" si="171"/>
        <v>SUBDIRECCION DE GESTION CONTRACTUAL</v>
      </c>
      <c r="V722" s="211" t="str">
        <f t="shared" si="173"/>
        <v>CO-DC</v>
      </c>
      <c r="W722" s="211" t="str">
        <f t="shared" si="174"/>
        <v>Distrito Capital de Bogotá</v>
      </c>
      <c r="X722" s="209" t="s">
        <v>512</v>
      </c>
      <c r="Y722" s="202">
        <v>2427400</v>
      </c>
      <c r="Z722" s="212" t="s">
        <v>154</v>
      </c>
      <c r="AA722" s="134"/>
      <c r="AB722" s="134"/>
      <c r="AC722" s="134"/>
      <c r="AD722" s="134"/>
      <c r="AE722" s="134"/>
      <c r="AF722" s="134"/>
      <c r="AG722" s="134"/>
      <c r="AH722" s="134"/>
      <c r="AI722" s="134"/>
      <c r="AJ722" s="134"/>
      <c r="AK722" s="134"/>
      <c r="AL722" s="134"/>
      <c r="AM722" s="134"/>
      <c r="AN722" s="134"/>
      <c r="AO722" s="134"/>
      <c r="AP722" s="134"/>
      <c r="AQ722" s="134"/>
      <c r="AR722" s="134"/>
      <c r="AS722" s="134"/>
      <c r="AT722" s="134"/>
      <c r="AU722" s="132"/>
      <c r="AV722" s="132"/>
      <c r="AW722" s="132"/>
      <c r="AX722" s="132"/>
      <c r="AY722" s="132"/>
      <c r="AZ722" s="132"/>
      <c r="BA722" s="132"/>
      <c r="BB722" s="132"/>
      <c r="BC722" s="132"/>
      <c r="BD722" s="132"/>
      <c r="BE722" s="132"/>
      <c r="BF722" s="132"/>
      <c r="BG722" s="132"/>
      <c r="BH722" s="132"/>
      <c r="BI722" s="132"/>
      <c r="BJ722" s="132"/>
      <c r="BK722" s="132"/>
      <c r="BL722" s="132"/>
      <c r="BM722" s="132"/>
      <c r="BN722" s="132"/>
      <c r="BO722" s="132"/>
      <c r="BP722" s="132"/>
      <c r="BQ722" s="132"/>
      <c r="BR722" s="132"/>
      <c r="BS722" s="132"/>
      <c r="BT722" s="132"/>
      <c r="BU722" s="132"/>
      <c r="BV722" s="132"/>
      <c r="BW722" s="132"/>
      <c r="BX722" s="132"/>
      <c r="BY722" s="132"/>
      <c r="BZ722" s="132"/>
      <c r="CA722" s="132"/>
      <c r="CB722" s="132"/>
      <c r="CC722" s="132"/>
      <c r="CD722" s="132"/>
      <c r="CE722" s="132"/>
      <c r="CF722" s="132"/>
      <c r="CG722" s="140"/>
    </row>
    <row r="723" spans="1:85" s="139" customFormat="1" ht="13.9" customHeight="1" x14ac:dyDescent="0.2">
      <c r="A723" s="208" t="s">
        <v>152</v>
      </c>
      <c r="B723" s="202">
        <v>69</v>
      </c>
      <c r="C723" s="203" t="s">
        <v>538</v>
      </c>
      <c r="D723" s="209" t="s">
        <v>153</v>
      </c>
      <c r="E723" s="210"/>
      <c r="F723" s="210">
        <v>1025000000</v>
      </c>
      <c r="G723" s="210"/>
      <c r="H723" s="209" t="s">
        <v>703</v>
      </c>
      <c r="I723" s="203" t="s">
        <v>687</v>
      </c>
      <c r="J723" s="202">
        <v>1</v>
      </c>
      <c r="K723" s="202">
        <v>1</v>
      </c>
      <c r="L723" s="202">
        <v>12</v>
      </c>
      <c r="M723" s="185">
        <f t="shared" si="170"/>
        <v>1</v>
      </c>
      <c r="N723" s="193" t="s">
        <v>36</v>
      </c>
      <c r="O723" s="194" t="s">
        <v>256</v>
      </c>
      <c r="P723" s="211">
        <f t="shared" si="175"/>
        <v>1</v>
      </c>
      <c r="Q723" s="196">
        <f t="shared" si="162"/>
        <v>1025000000</v>
      </c>
      <c r="R723" s="196">
        <f t="shared" si="163"/>
        <v>1025000000</v>
      </c>
      <c r="S723" s="201" t="s">
        <v>217</v>
      </c>
      <c r="T723" s="211">
        <f t="shared" si="172"/>
        <v>0</v>
      </c>
      <c r="U723" s="198" t="str">
        <f t="shared" si="171"/>
        <v>SUBDIRECCION DE GESTION CONTRACTUAL</v>
      </c>
      <c r="V723" s="211" t="str">
        <f t="shared" si="173"/>
        <v>CO-DC</v>
      </c>
      <c r="W723" s="211" t="str">
        <f t="shared" si="174"/>
        <v>Distrito Capital de Bogotá</v>
      </c>
      <c r="X723" s="209" t="s">
        <v>512</v>
      </c>
      <c r="Y723" s="202">
        <v>2427400</v>
      </c>
      <c r="Z723" s="212" t="s">
        <v>154</v>
      </c>
      <c r="AA723" s="134"/>
      <c r="AB723" s="134"/>
      <c r="AC723" s="134"/>
      <c r="AD723" s="134"/>
      <c r="AE723" s="134"/>
      <c r="AF723" s="134"/>
      <c r="AG723" s="134"/>
      <c r="AH723" s="134"/>
      <c r="AI723" s="134"/>
      <c r="AJ723" s="134"/>
      <c r="AK723" s="134"/>
      <c r="AL723" s="134"/>
      <c r="AM723" s="134"/>
      <c r="AN723" s="134"/>
      <c r="AO723" s="134"/>
      <c r="AP723" s="134"/>
      <c r="AQ723" s="134"/>
      <c r="AR723" s="134"/>
      <c r="AS723" s="134"/>
      <c r="AT723" s="134"/>
      <c r="AU723" s="132"/>
      <c r="AV723" s="132"/>
      <c r="AW723" s="132"/>
      <c r="AX723" s="132"/>
      <c r="AY723" s="132"/>
      <c r="AZ723" s="132"/>
      <c r="BA723" s="132"/>
      <c r="BB723" s="132"/>
      <c r="BC723" s="132"/>
      <c r="BD723" s="132"/>
      <c r="BE723" s="132"/>
      <c r="BF723" s="132"/>
      <c r="BG723" s="132"/>
      <c r="BH723" s="132"/>
      <c r="BI723" s="132"/>
      <c r="BJ723" s="132"/>
      <c r="BK723" s="132"/>
      <c r="BL723" s="132"/>
      <c r="BM723" s="132"/>
      <c r="BN723" s="132"/>
      <c r="BO723" s="132"/>
      <c r="BP723" s="132"/>
      <c r="BQ723" s="132"/>
      <c r="BR723" s="132"/>
      <c r="BS723" s="132"/>
      <c r="BT723" s="132"/>
      <c r="BU723" s="132"/>
      <c r="BV723" s="132"/>
      <c r="BW723" s="132"/>
      <c r="BX723" s="132"/>
      <c r="BY723" s="132"/>
      <c r="BZ723" s="132"/>
      <c r="CA723" s="132"/>
      <c r="CB723" s="132"/>
      <c r="CC723" s="132"/>
      <c r="CD723" s="132"/>
      <c r="CE723" s="132"/>
      <c r="CF723" s="132"/>
      <c r="CG723" s="140"/>
    </row>
    <row r="724" spans="1:85" s="139" customFormat="1" ht="13.9" customHeight="1" x14ac:dyDescent="0.2">
      <c r="A724" s="208" t="s">
        <v>152</v>
      </c>
      <c r="B724" s="202">
        <v>70</v>
      </c>
      <c r="C724" s="203" t="s">
        <v>538</v>
      </c>
      <c r="D724" s="209" t="s">
        <v>153</v>
      </c>
      <c r="E724" s="210"/>
      <c r="F724" s="210">
        <v>305440000</v>
      </c>
      <c r="G724" s="210"/>
      <c r="H724" s="209" t="s">
        <v>703</v>
      </c>
      <c r="I724" s="203" t="s">
        <v>688</v>
      </c>
      <c r="J724" s="202">
        <v>1</v>
      </c>
      <c r="K724" s="202">
        <v>1</v>
      </c>
      <c r="L724" s="202">
        <v>12</v>
      </c>
      <c r="M724" s="185">
        <f t="shared" si="170"/>
        <v>1</v>
      </c>
      <c r="N724" s="193" t="s">
        <v>36</v>
      </c>
      <c r="O724" s="194" t="s">
        <v>256</v>
      </c>
      <c r="P724" s="211">
        <f t="shared" si="175"/>
        <v>1</v>
      </c>
      <c r="Q724" s="196">
        <f t="shared" si="162"/>
        <v>305440000</v>
      </c>
      <c r="R724" s="196">
        <f t="shared" si="163"/>
        <v>305440000</v>
      </c>
      <c r="S724" s="201" t="s">
        <v>217</v>
      </c>
      <c r="T724" s="211">
        <f t="shared" si="172"/>
        <v>0</v>
      </c>
      <c r="U724" s="198" t="str">
        <f t="shared" si="171"/>
        <v>SUBDIRECCION DE GESTION CONTRACTUAL</v>
      </c>
      <c r="V724" s="211" t="str">
        <f t="shared" si="173"/>
        <v>CO-DC</v>
      </c>
      <c r="W724" s="211" t="str">
        <f t="shared" si="174"/>
        <v>Distrito Capital de Bogotá</v>
      </c>
      <c r="X724" s="209" t="s">
        <v>512</v>
      </c>
      <c r="Y724" s="202">
        <v>2427400</v>
      </c>
      <c r="Z724" s="212" t="s">
        <v>154</v>
      </c>
      <c r="AA724" s="134"/>
      <c r="AB724" s="134"/>
      <c r="AC724" s="134"/>
      <c r="AD724" s="134"/>
      <c r="AE724" s="134"/>
      <c r="AF724" s="134"/>
      <c r="AG724" s="134"/>
      <c r="AH724" s="134"/>
      <c r="AI724" s="134"/>
      <c r="AJ724" s="134"/>
      <c r="AK724" s="134"/>
      <c r="AL724" s="134"/>
      <c r="AM724" s="134"/>
      <c r="AN724" s="134"/>
      <c r="AO724" s="134"/>
      <c r="AP724" s="134"/>
      <c r="AQ724" s="134"/>
      <c r="AR724" s="134"/>
      <c r="AS724" s="134"/>
      <c r="AT724" s="134"/>
      <c r="AU724" s="132"/>
      <c r="AV724" s="132"/>
      <c r="AW724" s="132"/>
      <c r="AX724" s="132"/>
      <c r="AY724" s="132"/>
      <c r="AZ724" s="132"/>
      <c r="BA724" s="132"/>
      <c r="BB724" s="132"/>
      <c r="BC724" s="132"/>
      <c r="BD724" s="132"/>
      <c r="BE724" s="132"/>
      <c r="BF724" s="132"/>
      <c r="BG724" s="132"/>
      <c r="BH724" s="132"/>
      <c r="BI724" s="132"/>
      <c r="BJ724" s="132"/>
      <c r="BK724" s="132"/>
      <c r="BL724" s="132"/>
      <c r="BM724" s="132"/>
      <c r="BN724" s="132"/>
      <c r="BO724" s="132"/>
      <c r="BP724" s="132"/>
      <c r="BQ724" s="132"/>
      <c r="BR724" s="132"/>
      <c r="BS724" s="132"/>
      <c r="BT724" s="132"/>
      <c r="BU724" s="132"/>
      <c r="BV724" s="132"/>
      <c r="BW724" s="132"/>
      <c r="BX724" s="132"/>
      <c r="BY724" s="132"/>
      <c r="BZ724" s="132"/>
      <c r="CA724" s="132"/>
      <c r="CB724" s="132"/>
      <c r="CC724" s="132"/>
      <c r="CD724" s="132"/>
      <c r="CE724" s="132"/>
      <c r="CF724" s="132"/>
      <c r="CG724" s="140"/>
    </row>
    <row r="725" spans="1:85" s="139" customFormat="1" ht="13.9" customHeight="1" x14ac:dyDescent="0.2">
      <c r="A725" s="208" t="s">
        <v>152</v>
      </c>
      <c r="B725" s="202">
        <v>71</v>
      </c>
      <c r="C725" s="203" t="s">
        <v>538</v>
      </c>
      <c r="D725" s="209" t="s">
        <v>153</v>
      </c>
      <c r="E725" s="210"/>
      <c r="F725" s="210">
        <v>305440000</v>
      </c>
      <c r="G725" s="210"/>
      <c r="H725" s="209" t="s">
        <v>703</v>
      </c>
      <c r="I725" s="203" t="s">
        <v>689</v>
      </c>
      <c r="J725" s="202">
        <v>1</v>
      </c>
      <c r="K725" s="202">
        <v>1</v>
      </c>
      <c r="L725" s="202">
        <v>12</v>
      </c>
      <c r="M725" s="185">
        <f t="shared" si="170"/>
        <v>1</v>
      </c>
      <c r="N725" s="193" t="s">
        <v>36</v>
      </c>
      <c r="O725" s="194" t="s">
        <v>256</v>
      </c>
      <c r="P725" s="211">
        <f t="shared" si="175"/>
        <v>1</v>
      </c>
      <c r="Q725" s="196">
        <f t="shared" si="162"/>
        <v>305440000</v>
      </c>
      <c r="R725" s="196">
        <f t="shared" si="163"/>
        <v>305440000</v>
      </c>
      <c r="S725" s="201" t="s">
        <v>217</v>
      </c>
      <c r="T725" s="211">
        <f t="shared" si="172"/>
        <v>0</v>
      </c>
      <c r="U725" s="198" t="str">
        <f t="shared" si="171"/>
        <v>SUBDIRECCION DE GESTION CONTRACTUAL</v>
      </c>
      <c r="V725" s="211" t="str">
        <f t="shared" si="173"/>
        <v>CO-DC</v>
      </c>
      <c r="W725" s="211" t="str">
        <f t="shared" si="174"/>
        <v>Distrito Capital de Bogotá</v>
      </c>
      <c r="X725" s="209" t="s">
        <v>512</v>
      </c>
      <c r="Y725" s="202">
        <v>2427400</v>
      </c>
      <c r="Z725" s="212" t="s">
        <v>154</v>
      </c>
      <c r="AA725" s="134"/>
      <c r="AB725" s="134"/>
      <c r="AC725" s="134"/>
      <c r="AD725" s="134"/>
      <c r="AE725" s="134"/>
      <c r="AF725" s="134"/>
      <c r="AG725" s="134"/>
      <c r="AH725" s="134"/>
      <c r="AI725" s="134"/>
      <c r="AJ725" s="134"/>
      <c r="AK725" s="134"/>
      <c r="AL725" s="134"/>
      <c r="AM725" s="134"/>
      <c r="AN725" s="134"/>
      <c r="AO725" s="134"/>
      <c r="AP725" s="134"/>
      <c r="AQ725" s="134"/>
      <c r="AR725" s="134"/>
      <c r="AS725" s="134"/>
      <c r="AT725" s="134"/>
      <c r="AU725" s="132"/>
      <c r="AV725" s="132"/>
      <c r="AW725" s="132"/>
      <c r="AX725" s="132"/>
      <c r="AY725" s="132"/>
      <c r="AZ725" s="132"/>
      <c r="BA725" s="132"/>
      <c r="BB725" s="132"/>
      <c r="BC725" s="132"/>
      <c r="BD725" s="132"/>
      <c r="BE725" s="132"/>
      <c r="BF725" s="132"/>
      <c r="BG725" s="132"/>
      <c r="BH725" s="132"/>
      <c r="BI725" s="132"/>
      <c r="BJ725" s="132"/>
      <c r="BK725" s="132"/>
      <c r="BL725" s="132"/>
      <c r="BM725" s="132"/>
      <c r="BN725" s="132"/>
      <c r="BO725" s="132"/>
      <c r="BP725" s="132"/>
      <c r="BQ725" s="132"/>
      <c r="BR725" s="132"/>
      <c r="BS725" s="132"/>
      <c r="BT725" s="132"/>
      <c r="BU725" s="132"/>
      <c r="BV725" s="132"/>
      <c r="BW725" s="132"/>
      <c r="BX725" s="132"/>
      <c r="BY725" s="132"/>
      <c r="BZ725" s="132"/>
      <c r="CA725" s="132"/>
      <c r="CB725" s="132"/>
      <c r="CC725" s="132"/>
      <c r="CD725" s="132"/>
      <c r="CE725" s="132"/>
      <c r="CF725" s="132"/>
      <c r="CG725" s="140"/>
    </row>
    <row r="726" spans="1:85" s="139" customFormat="1" ht="13.9" customHeight="1" x14ac:dyDescent="0.2">
      <c r="A726" s="208" t="s">
        <v>152</v>
      </c>
      <c r="B726" s="202">
        <v>72</v>
      </c>
      <c r="C726" s="203" t="s">
        <v>538</v>
      </c>
      <c r="D726" s="209" t="s">
        <v>153</v>
      </c>
      <c r="E726" s="210"/>
      <c r="F726" s="210">
        <v>250000000</v>
      </c>
      <c r="G726" s="210"/>
      <c r="H726" s="209" t="s">
        <v>703</v>
      </c>
      <c r="I726" s="203" t="s">
        <v>690</v>
      </c>
      <c r="J726" s="202">
        <v>1</v>
      </c>
      <c r="K726" s="202">
        <v>1</v>
      </c>
      <c r="L726" s="202">
        <v>12</v>
      </c>
      <c r="M726" s="185">
        <f t="shared" si="170"/>
        <v>1</v>
      </c>
      <c r="N726" s="193" t="s">
        <v>36</v>
      </c>
      <c r="O726" s="194" t="s">
        <v>256</v>
      </c>
      <c r="P726" s="211">
        <f t="shared" si="175"/>
        <v>1</v>
      </c>
      <c r="Q726" s="196">
        <f t="shared" si="162"/>
        <v>250000000</v>
      </c>
      <c r="R726" s="196">
        <f t="shared" si="163"/>
        <v>250000000</v>
      </c>
      <c r="S726" s="201" t="s">
        <v>217</v>
      </c>
      <c r="T726" s="211">
        <f t="shared" si="172"/>
        <v>0</v>
      </c>
      <c r="U726" s="198" t="str">
        <f t="shared" si="171"/>
        <v>SUBDIRECCION DE GESTION CONTRACTUAL</v>
      </c>
      <c r="V726" s="211" t="str">
        <f t="shared" si="173"/>
        <v>CO-DC</v>
      </c>
      <c r="W726" s="211" t="str">
        <f t="shared" si="174"/>
        <v>Distrito Capital de Bogotá</v>
      </c>
      <c r="X726" s="209" t="s">
        <v>512</v>
      </c>
      <c r="Y726" s="202">
        <v>2427400</v>
      </c>
      <c r="Z726" s="212" t="s">
        <v>154</v>
      </c>
      <c r="AA726" s="134"/>
      <c r="AB726" s="134"/>
      <c r="AC726" s="134"/>
      <c r="AD726" s="134"/>
      <c r="AE726" s="134"/>
      <c r="AF726" s="134"/>
      <c r="AG726" s="134"/>
      <c r="AH726" s="134"/>
      <c r="AI726" s="134"/>
      <c r="AJ726" s="134"/>
      <c r="AK726" s="134"/>
      <c r="AL726" s="134"/>
      <c r="AM726" s="134"/>
      <c r="AN726" s="134"/>
      <c r="AO726" s="134"/>
      <c r="AP726" s="134"/>
      <c r="AQ726" s="134"/>
      <c r="AR726" s="134"/>
      <c r="AS726" s="134"/>
      <c r="AT726" s="134"/>
      <c r="AU726" s="132"/>
      <c r="AV726" s="132"/>
      <c r="AW726" s="132"/>
      <c r="AX726" s="132"/>
      <c r="AY726" s="132"/>
      <c r="AZ726" s="132"/>
      <c r="BA726" s="132"/>
      <c r="BB726" s="132"/>
      <c r="BC726" s="132"/>
      <c r="BD726" s="132"/>
      <c r="BE726" s="132"/>
      <c r="BF726" s="132"/>
      <c r="BG726" s="132"/>
      <c r="BH726" s="132"/>
      <c r="BI726" s="132"/>
      <c r="BJ726" s="132"/>
      <c r="BK726" s="132"/>
      <c r="BL726" s="132"/>
      <c r="BM726" s="132"/>
      <c r="BN726" s="132"/>
      <c r="BO726" s="132"/>
      <c r="BP726" s="132"/>
      <c r="BQ726" s="132"/>
      <c r="BR726" s="132"/>
      <c r="BS726" s="132"/>
      <c r="BT726" s="132"/>
      <c r="BU726" s="132"/>
      <c r="BV726" s="132"/>
      <c r="BW726" s="132"/>
      <c r="BX726" s="132"/>
      <c r="BY726" s="132"/>
      <c r="BZ726" s="132"/>
      <c r="CA726" s="132"/>
      <c r="CB726" s="132"/>
      <c r="CC726" s="132"/>
      <c r="CD726" s="132"/>
      <c r="CE726" s="132"/>
      <c r="CF726" s="132"/>
      <c r="CG726" s="140"/>
    </row>
    <row r="727" spans="1:85" s="139" customFormat="1" ht="13.9" customHeight="1" x14ac:dyDescent="0.2">
      <c r="A727" s="208" t="s">
        <v>152</v>
      </c>
      <c r="B727" s="202">
        <v>73</v>
      </c>
      <c r="C727" s="203" t="s">
        <v>538</v>
      </c>
      <c r="D727" s="209" t="s">
        <v>153</v>
      </c>
      <c r="E727" s="210"/>
      <c r="F727" s="210">
        <v>250000000</v>
      </c>
      <c r="G727" s="210"/>
      <c r="H727" s="209" t="s">
        <v>703</v>
      </c>
      <c r="I727" s="203" t="s">
        <v>691</v>
      </c>
      <c r="J727" s="202">
        <v>1</v>
      </c>
      <c r="K727" s="202">
        <v>1</v>
      </c>
      <c r="L727" s="202">
        <v>12</v>
      </c>
      <c r="M727" s="185">
        <f t="shared" si="170"/>
        <v>1</v>
      </c>
      <c r="N727" s="193" t="s">
        <v>36</v>
      </c>
      <c r="O727" s="194" t="s">
        <v>256</v>
      </c>
      <c r="P727" s="211">
        <f t="shared" si="175"/>
        <v>1</v>
      </c>
      <c r="Q727" s="196">
        <f t="shared" ref="Q727:Q775" si="176">+E727+F727+G727</f>
        <v>250000000</v>
      </c>
      <c r="R727" s="196">
        <f t="shared" ref="R727:R775" si="177">+F727</f>
        <v>250000000</v>
      </c>
      <c r="S727" s="201" t="s">
        <v>217</v>
      </c>
      <c r="T727" s="211">
        <f t="shared" si="172"/>
        <v>0</v>
      </c>
      <c r="U727" s="198" t="str">
        <f t="shared" si="171"/>
        <v>SUBDIRECCION DE GESTION CONTRACTUAL</v>
      </c>
      <c r="V727" s="211" t="str">
        <f t="shared" si="173"/>
        <v>CO-DC</v>
      </c>
      <c r="W727" s="211" t="str">
        <f t="shared" si="174"/>
        <v>Distrito Capital de Bogotá</v>
      </c>
      <c r="X727" s="209" t="s">
        <v>512</v>
      </c>
      <c r="Y727" s="202">
        <v>2427400</v>
      </c>
      <c r="Z727" s="212" t="s">
        <v>154</v>
      </c>
      <c r="AA727" s="134"/>
      <c r="AB727" s="134"/>
      <c r="AC727" s="134"/>
      <c r="AD727" s="134"/>
      <c r="AE727" s="134"/>
      <c r="AF727" s="134"/>
      <c r="AG727" s="134"/>
      <c r="AH727" s="134"/>
      <c r="AI727" s="134"/>
      <c r="AJ727" s="134"/>
      <c r="AK727" s="134"/>
      <c r="AL727" s="134"/>
      <c r="AM727" s="134"/>
      <c r="AN727" s="134"/>
      <c r="AO727" s="134"/>
      <c r="AP727" s="134"/>
      <c r="AQ727" s="134"/>
      <c r="AR727" s="134"/>
      <c r="AS727" s="134"/>
      <c r="AT727" s="134"/>
      <c r="AU727" s="132"/>
      <c r="AV727" s="132"/>
      <c r="AW727" s="132"/>
      <c r="AX727" s="132"/>
      <c r="AY727" s="132"/>
      <c r="AZ727" s="132"/>
      <c r="BA727" s="132"/>
      <c r="BB727" s="132"/>
      <c r="BC727" s="132"/>
      <c r="BD727" s="132"/>
      <c r="BE727" s="132"/>
      <c r="BF727" s="132"/>
      <c r="BG727" s="132"/>
      <c r="BH727" s="132"/>
      <c r="BI727" s="132"/>
      <c r="BJ727" s="132"/>
      <c r="BK727" s="132"/>
      <c r="BL727" s="132"/>
      <c r="BM727" s="132"/>
      <c r="BN727" s="132"/>
      <c r="BO727" s="132"/>
      <c r="BP727" s="132"/>
      <c r="BQ727" s="132"/>
      <c r="BR727" s="132"/>
      <c r="BS727" s="132"/>
      <c r="BT727" s="132"/>
      <c r="BU727" s="132"/>
      <c r="BV727" s="132"/>
      <c r="BW727" s="132"/>
      <c r="BX727" s="132"/>
      <c r="BY727" s="132"/>
      <c r="BZ727" s="132"/>
      <c r="CA727" s="132"/>
      <c r="CB727" s="132"/>
      <c r="CC727" s="132"/>
      <c r="CD727" s="132"/>
      <c r="CE727" s="132"/>
      <c r="CF727" s="132"/>
      <c r="CG727" s="140"/>
    </row>
    <row r="728" spans="1:85" s="139" customFormat="1" ht="13.9" customHeight="1" x14ac:dyDescent="0.2">
      <c r="A728" s="208" t="s">
        <v>152</v>
      </c>
      <c r="B728" s="202">
        <v>74</v>
      </c>
      <c r="C728" s="203" t="s">
        <v>538</v>
      </c>
      <c r="D728" s="209" t="s">
        <v>153</v>
      </c>
      <c r="E728" s="210"/>
      <c r="F728" s="210">
        <v>700000000</v>
      </c>
      <c r="G728" s="210"/>
      <c r="H728" s="209" t="s">
        <v>703</v>
      </c>
      <c r="I728" s="203" t="s">
        <v>693</v>
      </c>
      <c r="J728" s="202">
        <v>1</v>
      </c>
      <c r="K728" s="202">
        <v>1</v>
      </c>
      <c r="L728" s="202">
        <v>12</v>
      </c>
      <c r="M728" s="185">
        <f t="shared" si="170"/>
        <v>1</v>
      </c>
      <c r="N728" s="193" t="s">
        <v>36</v>
      </c>
      <c r="O728" s="194" t="s">
        <v>256</v>
      </c>
      <c r="P728" s="211">
        <f t="shared" si="175"/>
        <v>1</v>
      </c>
      <c r="Q728" s="196">
        <f t="shared" si="176"/>
        <v>700000000</v>
      </c>
      <c r="R728" s="196">
        <f t="shared" si="177"/>
        <v>700000000</v>
      </c>
      <c r="S728" s="201" t="s">
        <v>217</v>
      </c>
      <c r="T728" s="211">
        <f t="shared" si="172"/>
        <v>0</v>
      </c>
      <c r="U728" s="198" t="str">
        <f t="shared" si="171"/>
        <v>SUBDIRECCION DE GESTION CONTRACTUAL</v>
      </c>
      <c r="V728" s="211" t="str">
        <f t="shared" si="173"/>
        <v>CO-DC</v>
      </c>
      <c r="W728" s="211" t="str">
        <f t="shared" si="174"/>
        <v>Distrito Capital de Bogotá</v>
      </c>
      <c r="X728" s="209" t="s">
        <v>512</v>
      </c>
      <c r="Y728" s="202">
        <v>2427400</v>
      </c>
      <c r="Z728" s="212" t="s">
        <v>154</v>
      </c>
      <c r="AA728" s="134"/>
      <c r="AB728" s="134"/>
      <c r="AC728" s="134"/>
      <c r="AD728" s="134"/>
      <c r="AE728" s="134"/>
      <c r="AF728" s="134"/>
      <c r="AG728" s="134"/>
      <c r="AH728" s="134"/>
      <c r="AI728" s="134"/>
      <c r="AJ728" s="134"/>
      <c r="AK728" s="134"/>
      <c r="AL728" s="134"/>
      <c r="AM728" s="134"/>
      <c r="AN728" s="134"/>
      <c r="AO728" s="134"/>
      <c r="AP728" s="134"/>
      <c r="AQ728" s="134"/>
      <c r="AR728" s="134"/>
      <c r="AS728" s="134"/>
      <c r="AT728" s="134"/>
      <c r="AU728" s="132"/>
      <c r="AV728" s="132"/>
      <c r="AW728" s="132"/>
      <c r="AX728" s="132"/>
      <c r="AY728" s="132"/>
      <c r="AZ728" s="132"/>
      <c r="BA728" s="132"/>
      <c r="BB728" s="132"/>
      <c r="BC728" s="132"/>
      <c r="BD728" s="132"/>
      <c r="BE728" s="132"/>
      <c r="BF728" s="132"/>
      <c r="BG728" s="132"/>
      <c r="BH728" s="132"/>
      <c r="BI728" s="132"/>
      <c r="BJ728" s="132"/>
      <c r="BK728" s="132"/>
      <c r="BL728" s="132"/>
      <c r="BM728" s="132"/>
      <c r="BN728" s="132"/>
      <c r="BO728" s="132"/>
      <c r="BP728" s="132"/>
      <c r="BQ728" s="132"/>
      <c r="BR728" s="132"/>
      <c r="BS728" s="132"/>
      <c r="BT728" s="132"/>
      <c r="BU728" s="132"/>
      <c r="BV728" s="132"/>
      <c r="BW728" s="132"/>
      <c r="BX728" s="132"/>
      <c r="BY728" s="132"/>
      <c r="BZ728" s="132"/>
      <c r="CA728" s="132"/>
      <c r="CB728" s="132"/>
      <c r="CC728" s="132"/>
      <c r="CD728" s="132"/>
      <c r="CE728" s="132"/>
      <c r="CF728" s="132"/>
      <c r="CG728" s="140"/>
    </row>
    <row r="729" spans="1:85" s="139" customFormat="1" ht="13.9" customHeight="1" x14ac:dyDescent="0.2">
      <c r="A729" s="208" t="s">
        <v>152</v>
      </c>
      <c r="B729" s="202">
        <v>75</v>
      </c>
      <c r="C729" s="203" t="s">
        <v>538</v>
      </c>
      <c r="D729" s="209" t="s">
        <v>153</v>
      </c>
      <c r="E729" s="210"/>
      <c r="F729" s="210">
        <v>250000000</v>
      </c>
      <c r="G729" s="210"/>
      <c r="H729" s="209" t="s">
        <v>703</v>
      </c>
      <c r="I729" s="203" t="s">
        <v>692</v>
      </c>
      <c r="J729" s="202">
        <v>1</v>
      </c>
      <c r="K729" s="202">
        <v>1</v>
      </c>
      <c r="L729" s="202">
        <v>12</v>
      </c>
      <c r="M729" s="185">
        <f t="shared" si="170"/>
        <v>1</v>
      </c>
      <c r="N729" s="193" t="s">
        <v>36</v>
      </c>
      <c r="O729" s="194" t="s">
        <v>256</v>
      </c>
      <c r="P729" s="211">
        <f t="shared" si="175"/>
        <v>1</v>
      </c>
      <c r="Q729" s="196">
        <f t="shared" si="176"/>
        <v>250000000</v>
      </c>
      <c r="R729" s="196">
        <f t="shared" si="177"/>
        <v>250000000</v>
      </c>
      <c r="S729" s="201" t="s">
        <v>217</v>
      </c>
      <c r="T729" s="211">
        <f t="shared" si="172"/>
        <v>0</v>
      </c>
      <c r="U729" s="198" t="str">
        <f t="shared" si="171"/>
        <v>SUBDIRECCION DE GESTION CONTRACTUAL</v>
      </c>
      <c r="V729" s="211" t="str">
        <f t="shared" si="173"/>
        <v>CO-DC</v>
      </c>
      <c r="W729" s="211" t="str">
        <f t="shared" si="174"/>
        <v>Distrito Capital de Bogotá</v>
      </c>
      <c r="X729" s="209" t="s">
        <v>512</v>
      </c>
      <c r="Y729" s="202">
        <v>2427400</v>
      </c>
      <c r="Z729" s="212" t="s">
        <v>154</v>
      </c>
      <c r="AA729" s="134"/>
      <c r="AB729" s="134"/>
      <c r="AC729" s="134"/>
      <c r="AD729" s="134"/>
      <c r="AE729" s="134"/>
      <c r="AF729" s="134"/>
      <c r="AG729" s="134"/>
      <c r="AH729" s="134"/>
      <c r="AI729" s="134"/>
      <c r="AJ729" s="134"/>
      <c r="AK729" s="134"/>
      <c r="AL729" s="134"/>
      <c r="AM729" s="134"/>
      <c r="AN729" s="134"/>
      <c r="AO729" s="134"/>
      <c r="AP729" s="134"/>
      <c r="AQ729" s="134"/>
      <c r="AR729" s="134"/>
      <c r="AS729" s="134"/>
      <c r="AT729" s="134"/>
      <c r="AU729" s="132"/>
      <c r="AV729" s="132"/>
      <c r="AW729" s="132"/>
      <c r="AX729" s="132"/>
      <c r="AY729" s="132"/>
      <c r="AZ729" s="132"/>
      <c r="BA729" s="132"/>
      <c r="BB729" s="132"/>
      <c r="BC729" s="132"/>
      <c r="BD729" s="132"/>
      <c r="BE729" s="132"/>
      <c r="BF729" s="132"/>
      <c r="BG729" s="132"/>
      <c r="BH729" s="132"/>
      <c r="BI729" s="132"/>
      <c r="BJ729" s="132"/>
      <c r="BK729" s="132"/>
      <c r="BL729" s="132"/>
      <c r="BM729" s="132"/>
      <c r="BN729" s="132"/>
      <c r="BO729" s="132"/>
      <c r="BP729" s="132"/>
      <c r="BQ729" s="132"/>
      <c r="BR729" s="132"/>
      <c r="BS729" s="132"/>
      <c r="BT729" s="132"/>
      <c r="BU729" s="132"/>
      <c r="BV729" s="132"/>
      <c r="BW729" s="132"/>
      <c r="BX729" s="132"/>
      <c r="BY729" s="132"/>
      <c r="BZ729" s="132"/>
      <c r="CA729" s="132"/>
      <c r="CB729" s="132"/>
      <c r="CC729" s="132"/>
      <c r="CD729" s="132"/>
      <c r="CE729" s="132"/>
      <c r="CF729" s="132"/>
      <c r="CG729" s="140"/>
    </row>
    <row r="730" spans="1:85" s="7" customFormat="1" ht="12.75" customHeight="1" x14ac:dyDescent="0.2">
      <c r="A730" s="208" t="s">
        <v>152</v>
      </c>
      <c r="B730" s="202">
        <v>76</v>
      </c>
      <c r="C730" s="203" t="s">
        <v>538</v>
      </c>
      <c r="D730" s="209" t="s">
        <v>153</v>
      </c>
      <c r="E730" s="210"/>
      <c r="F730" s="210">
        <v>205000000</v>
      </c>
      <c r="G730" s="210"/>
      <c r="H730" s="209" t="s">
        <v>703</v>
      </c>
      <c r="I730" s="203" t="s">
        <v>694</v>
      </c>
      <c r="J730" s="202">
        <v>1</v>
      </c>
      <c r="K730" s="202">
        <v>1</v>
      </c>
      <c r="L730" s="202">
        <v>12</v>
      </c>
      <c r="M730" s="185">
        <f t="shared" si="170"/>
        <v>1</v>
      </c>
      <c r="N730" s="193" t="s">
        <v>36</v>
      </c>
      <c r="O730" s="194" t="s">
        <v>256</v>
      </c>
      <c r="P730" s="211">
        <f t="shared" si="175"/>
        <v>1</v>
      </c>
      <c r="Q730" s="196">
        <f t="shared" si="176"/>
        <v>205000000</v>
      </c>
      <c r="R730" s="196">
        <f t="shared" si="177"/>
        <v>205000000</v>
      </c>
      <c r="S730" s="201" t="s">
        <v>217</v>
      </c>
      <c r="T730" s="211">
        <f t="shared" si="172"/>
        <v>0</v>
      </c>
      <c r="U730" s="198" t="str">
        <f t="shared" si="171"/>
        <v>SUBDIRECCION DE GESTION CONTRACTUAL</v>
      </c>
      <c r="V730" s="211" t="str">
        <f t="shared" si="173"/>
        <v>CO-DC</v>
      </c>
      <c r="W730" s="211" t="str">
        <f t="shared" si="174"/>
        <v>Distrito Capital de Bogotá</v>
      </c>
      <c r="X730" s="209" t="s">
        <v>512</v>
      </c>
      <c r="Y730" s="202">
        <v>2427400</v>
      </c>
      <c r="Z730" s="212" t="s">
        <v>154</v>
      </c>
    </row>
    <row r="731" spans="1:85" s="7" customFormat="1" ht="12.75" customHeight="1" x14ac:dyDescent="0.2">
      <c r="A731" s="208" t="s">
        <v>152</v>
      </c>
      <c r="B731" s="202">
        <v>77</v>
      </c>
      <c r="C731" s="203" t="s">
        <v>538</v>
      </c>
      <c r="D731" s="209" t="s">
        <v>153</v>
      </c>
      <c r="E731" s="210"/>
      <c r="F731" s="210">
        <v>250000000</v>
      </c>
      <c r="G731" s="210"/>
      <c r="H731" s="209" t="s">
        <v>703</v>
      </c>
      <c r="I731" s="203" t="s">
        <v>645</v>
      </c>
      <c r="J731" s="202">
        <v>1</v>
      </c>
      <c r="K731" s="202">
        <v>1</v>
      </c>
      <c r="L731" s="202">
        <v>12</v>
      </c>
      <c r="M731" s="185">
        <f t="shared" si="170"/>
        <v>1</v>
      </c>
      <c r="N731" s="193" t="s">
        <v>36</v>
      </c>
      <c r="O731" s="194" t="s">
        <v>256</v>
      </c>
      <c r="P731" s="211">
        <f t="shared" si="175"/>
        <v>1</v>
      </c>
      <c r="Q731" s="196">
        <f t="shared" si="176"/>
        <v>250000000</v>
      </c>
      <c r="R731" s="196">
        <f t="shared" si="177"/>
        <v>250000000</v>
      </c>
      <c r="S731" s="201" t="s">
        <v>217</v>
      </c>
      <c r="T731" s="211">
        <f t="shared" si="172"/>
        <v>0</v>
      </c>
      <c r="U731" s="198" t="str">
        <f t="shared" si="171"/>
        <v>SUBDIRECCION DE GESTION CONTRACTUAL</v>
      </c>
      <c r="V731" s="211" t="str">
        <f t="shared" si="173"/>
        <v>CO-DC</v>
      </c>
      <c r="W731" s="211" t="str">
        <f t="shared" si="174"/>
        <v>Distrito Capital de Bogotá</v>
      </c>
      <c r="X731" s="209" t="s">
        <v>512</v>
      </c>
      <c r="Y731" s="202">
        <v>2427400</v>
      </c>
      <c r="Z731" s="212" t="s">
        <v>154</v>
      </c>
    </row>
    <row r="732" spans="1:85" s="7" customFormat="1" ht="12.75" customHeight="1" x14ac:dyDescent="0.2">
      <c r="A732" s="208" t="s">
        <v>152</v>
      </c>
      <c r="B732" s="202">
        <v>78</v>
      </c>
      <c r="C732" s="203" t="s">
        <v>538</v>
      </c>
      <c r="D732" s="209" t="s">
        <v>153</v>
      </c>
      <c r="E732" s="210"/>
      <c r="F732" s="210">
        <v>140000000</v>
      </c>
      <c r="G732" s="210"/>
      <c r="H732" s="209" t="s">
        <v>703</v>
      </c>
      <c r="I732" s="203" t="s">
        <v>644</v>
      </c>
      <c r="J732" s="202">
        <v>1</v>
      </c>
      <c r="K732" s="202">
        <v>1</v>
      </c>
      <c r="L732" s="202">
        <v>12</v>
      </c>
      <c r="M732" s="185">
        <f t="shared" si="170"/>
        <v>1</v>
      </c>
      <c r="N732" s="193" t="s">
        <v>36</v>
      </c>
      <c r="O732" s="194" t="s">
        <v>256</v>
      </c>
      <c r="P732" s="211">
        <f t="shared" si="175"/>
        <v>1</v>
      </c>
      <c r="Q732" s="196">
        <f t="shared" si="176"/>
        <v>140000000</v>
      </c>
      <c r="R732" s="196">
        <f t="shared" si="177"/>
        <v>140000000</v>
      </c>
      <c r="S732" s="201" t="s">
        <v>217</v>
      </c>
      <c r="T732" s="211">
        <f t="shared" si="172"/>
        <v>0</v>
      </c>
      <c r="U732" s="198" t="str">
        <f t="shared" si="171"/>
        <v>SUBDIRECCION DE GESTION CONTRACTUAL</v>
      </c>
      <c r="V732" s="211" t="str">
        <f t="shared" si="173"/>
        <v>CO-DC</v>
      </c>
      <c r="W732" s="211" t="str">
        <f t="shared" si="174"/>
        <v>Distrito Capital de Bogotá</v>
      </c>
      <c r="X732" s="209" t="s">
        <v>512</v>
      </c>
      <c r="Y732" s="202">
        <v>2427400</v>
      </c>
      <c r="Z732" s="212" t="s">
        <v>154</v>
      </c>
    </row>
    <row r="733" spans="1:85" s="7" customFormat="1" ht="12.75" customHeight="1" x14ac:dyDescent="0.2">
      <c r="A733" s="208" t="s">
        <v>152</v>
      </c>
      <c r="B733" s="202">
        <v>79</v>
      </c>
      <c r="C733" s="203" t="s">
        <v>538</v>
      </c>
      <c r="D733" s="209" t="s">
        <v>153</v>
      </c>
      <c r="E733" s="210"/>
      <c r="F733" s="210">
        <v>14266808955</v>
      </c>
      <c r="G733" s="210"/>
      <c r="H733" s="209" t="s">
        <v>707</v>
      </c>
      <c r="I733" s="203" t="s">
        <v>643</v>
      </c>
      <c r="J733" s="202">
        <v>1</v>
      </c>
      <c r="K733" s="202">
        <v>1</v>
      </c>
      <c r="L733" s="202">
        <v>12</v>
      </c>
      <c r="M733" s="185">
        <f t="shared" si="170"/>
        <v>1</v>
      </c>
      <c r="N733" s="193" t="s">
        <v>36</v>
      </c>
      <c r="O733" s="194" t="s">
        <v>256</v>
      </c>
      <c r="P733" s="211">
        <f t="shared" si="175"/>
        <v>1</v>
      </c>
      <c r="Q733" s="196">
        <f t="shared" si="176"/>
        <v>14266808955</v>
      </c>
      <c r="R733" s="196">
        <f t="shared" si="177"/>
        <v>14266808955</v>
      </c>
      <c r="S733" s="201" t="s">
        <v>217</v>
      </c>
      <c r="T733" s="211">
        <f t="shared" si="172"/>
        <v>0</v>
      </c>
      <c r="U733" s="198" t="str">
        <f t="shared" si="171"/>
        <v>SUBDIRECCION DE GESTION CONTRACTUAL</v>
      </c>
      <c r="V733" s="211" t="str">
        <f t="shared" si="173"/>
        <v>CO-DC</v>
      </c>
      <c r="W733" s="211" t="str">
        <f t="shared" si="174"/>
        <v>Distrito Capital de Bogotá</v>
      </c>
      <c r="X733" s="209" t="s">
        <v>512</v>
      </c>
      <c r="Y733" s="202">
        <v>2427400</v>
      </c>
      <c r="Z733" s="212" t="s">
        <v>154</v>
      </c>
    </row>
    <row r="734" spans="1:85" s="7" customFormat="1" ht="12.75" customHeight="1" x14ac:dyDescent="0.2">
      <c r="A734" s="208" t="s">
        <v>152</v>
      </c>
      <c r="B734" s="202">
        <v>80</v>
      </c>
      <c r="C734" s="203" t="s">
        <v>538</v>
      </c>
      <c r="D734" s="209" t="s">
        <v>153</v>
      </c>
      <c r="E734" s="210"/>
      <c r="F734" s="210">
        <v>2038115564</v>
      </c>
      <c r="G734" s="210"/>
      <c r="H734" s="209" t="s">
        <v>707</v>
      </c>
      <c r="I734" s="203" t="s">
        <v>643</v>
      </c>
      <c r="J734" s="202">
        <v>1</v>
      </c>
      <c r="K734" s="202">
        <v>1</v>
      </c>
      <c r="L734" s="202">
        <v>12</v>
      </c>
      <c r="M734" s="185">
        <f t="shared" si="170"/>
        <v>1</v>
      </c>
      <c r="N734" s="193" t="s">
        <v>36</v>
      </c>
      <c r="O734" s="194" t="s">
        <v>256</v>
      </c>
      <c r="P734" s="211">
        <f t="shared" si="175"/>
        <v>1</v>
      </c>
      <c r="Q734" s="196">
        <f t="shared" si="176"/>
        <v>2038115564</v>
      </c>
      <c r="R734" s="196">
        <f t="shared" si="177"/>
        <v>2038115564</v>
      </c>
      <c r="S734" s="201" t="s">
        <v>217</v>
      </c>
      <c r="T734" s="211">
        <f t="shared" si="172"/>
        <v>0</v>
      </c>
      <c r="U734" s="198" t="str">
        <f t="shared" si="171"/>
        <v>SUBDIRECCION DE GESTION CONTRACTUAL</v>
      </c>
      <c r="V734" s="211" t="str">
        <f t="shared" si="173"/>
        <v>CO-DC</v>
      </c>
      <c r="W734" s="211" t="str">
        <f t="shared" si="174"/>
        <v>Distrito Capital de Bogotá</v>
      </c>
      <c r="X734" s="209" t="s">
        <v>512</v>
      </c>
      <c r="Y734" s="202">
        <v>2427400</v>
      </c>
      <c r="Z734" s="212" t="s">
        <v>154</v>
      </c>
    </row>
    <row r="735" spans="1:85" s="7" customFormat="1" ht="12.75" customHeight="1" x14ac:dyDescent="0.2">
      <c r="A735" s="208" t="s">
        <v>152</v>
      </c>
      <c r="B735" s="202">
        <v>81</v>
      </c>
      <c r="C735" s="203" t="s">
        <v>538</v>
      </c>
      <c r="D735" s="209" t="s">
        <v>153</v>
      </c>
      <c r="E735" s="210"/>
      <c r="F735" s="210">
        <v>305440000</v>
      </c>
      <c r="G735" s="210"/>
      <c r="H735" s="209" t="s">
        <v>703</v>
      </c>
      <c r="I735" s="203" t="s">
        <v>642</v>
      </c>
      <c r="J735" s="202">
        <v>1</v>
      </c>
      <c r="K735" s="202">
        <v>1</v>
      </c>
      <c r="L735" s="202">
        <v>12</v>
      </c>
      <c r="M735" s="185">
        <f t="shared" ref="M735:M766" si="178">IF(ISBLANK(J735),"",1)</f>
        <v>1</v>
      </c>
      <c r="N735" s="193" t="s">
        <v>36</v>
      </c>
      <c r="O735" s="194" t="s">
        <v>256</v>
      </c>
      <c r="P735" s="211">
        <f t="shared" si="175"/>
        <v>1</v>
      </c>
      <c r="Q735" s="196">
        <f t="shared" si="176"/>
        <v>305440000</v>
      </c>
      <c r="R735" s="196">
        <f t="shared" si="177"/>
        <v>305440000</v>
      </c>
      <c r="S735" s="201" t="s">
        <v>217</v>
      </c>
      <c r="T735" s="211">
        <f t="shared" si="172"/>
        <v>0</v>
      </c>
      <c r="U735" s="198" t="str">
        <f t="shared" ref="U735:U766" si="179">IF(ISBLANK(N735),"","SUBDIRECCION DE GESTION CONTRACTUAL")</f>
        <v>SUBDIRECCION DE GESTION CONTRACTUAL</v>
      </c>
      <c r="V735" s="211" t="str">
        <f t="shared" si="173"/>
        <v>CO-DC</v>
      </c>
      <c r="W735" s="211" t="str">
        <f t="shared" si="174"/>
        <v>Distrito Capital de Bogotá</v>
      </c>
      <c r="X735" s="209" t="s">
        <v>512</v>
      </c>
      <c r="Y735" s="202">
        <v>2427400</v>
      </c>
      <c r="Z735" s="212" t="s">
        <v>154</v>
      </c>
    </row>
    <row r="736" spans="1:85" s="7" customFormat="1" ht="12.75" customHeight="1" x14ac:dyDescent="0.2">
      <c r="A736" s="208" t="s">
        <v>152</v>
      </c>
      <c r="B736" s="202">
        <v>82</v>
      </c>
      <c r="C736" s="203" t="s">
        <v>538</v>
      </c>
      <c r="D736" s="209" t="s">
        <v>153</v>
      </c>
      <c r="E736" s="210"/>
      <c r="F736" s="210">
        <v>5954508000</v>
      </c>
      <c r="G736" s="210"/>
      <c r="H736" s="209">
        <v>92121901</v>
      </c>
      <c r="I736" s="203" t="s">
        <v>641</v>
      </c>
      <c r="J736" s="202">
        <v>1</v>
      </c>
      <c r="K736" s="202">
        <v>1</v>
      </c>
      <c r="L736" s="202">
        <v>12</v>
      </c>
      <c r="M736" s="185">
        <f t="shared" si="178"/>
        <v>1</v>
      </c>
      <c r="N736" s="193" t="s">
        <v>36</v>
      </c>
      <c r="O736" s="194" t="s">
        <v>256</v>
      </c>
      <c r="P736" s="211">
        <f t="shared" si="175"/>
        <v>1</v>
      </c>
      <c r="Q736" s="196">
        <f t="shared" si="176"/>
        <v>5954508000</v>
      </c>
      <c r="R736" s="196">
        <f t="shared" si="177"/>
        <v>5954508000</v>
      </c>
      <c r="S736" s="201" t="s">
        <v>217</v>
      </c>
      <c r="T736" s="211">
        <f t="shared" ref="T736:T767" si="180">IF(ISBLANK(S736),"",IF(VALUE(S736)=0,0,IF(VALUE(S736)=1,3,"")))</f>
        <v>0</v>
      </c>
      <c r="U736" s="198" t="str">
        <f t="shared" si="179"/>
        <v>SUBDIRECCION DE GESTION CONTRACTUAL</v>
      </c>
      <c r="V736" s="211" t="str">
        <f t="shared" si="173"/>
        <v>CO-DC</v>
      </c>
      <c r="W736" s="211" t="str">
        <f t="shared" si="174"/>
        <v>Distrito Capital de Bogotá</v>
      </c>
      <c r="X736" s="209" t="s">
        <v>512</v>
      </c>
      <c r="Y736" s="202">
        <v>2427400</v>
      </c>
      <c r="Z736" s="212" t="s">
        <v>154</v>
      </c>
    </row>
    <row r="737" spans="1:26" s="7" customFormat="1" ht="12.75" customHeight="1" x14ac:dyDescent="0.2">
      <c r="A737" s="208" t="s">
        <v>152</v>
      </c>
      <c r="B737" s="202">
        <v>83</v>
      </c>
      <c r="C737" s="203" t="s">
        <v>538</v>
      </c>
      <c r="D737" s="209" t="s">
        <v>153</v>
      </c>
      <c r="E737" s="210"/>
      <c r="F737" s="210">
        <v>9903414</v>
      </c>
      <c r="G737" s="210"/>
      <c r="H737" s="209" t="s">
        <v>707</v>
      </c>
      <c r="I737" s="203" t="s">
        <v>640</v>
      </c>
      <c r="J737" s="202">
        <v>1</v>
      </c>
      <c r="K737" s="202">
        <v>1</v>
      </c>
      <c r="L737" s="202">
        <v>12</v>
      </c>
      <c r="M737" s="185">
        <f t="shared" si="178"/>
        <v>1</v>
      </c>
      <c r="N737" s="193" t="s">
        <v>36</v>
      </c>
      <c r="O737" s="194" t="s">
        <v>256</v>
      </c>
      <c r="P737" s="211">
        <f t="shared" si="175"/>
        <v>1</v>
      </c>
      <c r="Q737" s="196">
        <f t="shared" si="176"/>
        <v>9903414</v>
      </c>
      <c r="R737" s="196">
        <f t="shared" si="177"/>
        <v>9903414</v>
      </c>
      <c r="S737" s="201" t="s">
        <v>217</v>
      </c>
      <c r="T737" s="211">
        <f t="shared" si="180"/>
        <v>0</v>
      </c>
      <c r="U737" s="198" t="str">
        <f t="shared" si="179"/>
        <v>SUBDIRECCION DE GESTION CONTRACTUAL</v>
      </c>
      <c r="V737" s="211" t="str">
        <f t="shared" si="173"/>
        <v>CO-DC</v>
      </c>
      <c r="W737" s="211" t="str">
        <f t="shared" si="174"/>
        <v>Distrito Capital de Bogotá</v>
      </c>
      <c r="X737" s="209" t="s">
        <v>512</v>
      </c>
      <c r="Y737" s="202">
        <v>2427400</v>
      </c>
      <c r="Z737" s="212" t="s">
        <v>154</v>
      </c>
    </row>
    <row r="738" spans="1:26" s="7" customFormat="1" ht="12.75" customHeight="1" x14ac:dyDescent="0.2">
      <c r="A738" s="208" t="s">
        <v>152</v>
      </c>
      <c r="B738" s="202">
        <v>84</v>
      </c>
      <c r="C738" s="203" t="s">
        <v>538</v>
      </c>
      <c r="D738" s="209" t="s">
        <v>153</v>
      </c>
      <c r="E738" s="210"/>
      <c r="F738" s="210">
        <v>47733333</v>
      </c>
      <c r="G738" s="210"/>
      <c r="H738" s="209" t="s">
        <v>707</v>
      </c>
      <c r="I738" s="203" t="s">
        <v>639</v>
      </c>
      <c r="J738" s="202">
        <v>1</v>
      </c>
      <c r="K738" s="202">
        <v>1</v>
      </c>
      <c r="L738" s="202">
        <v>12</v>
      </c>
      <c r="M738" s="185">
        <f t="shared" si="178"/>
        <v>1</v>
      </c>
      <c r="N738" s="193" t="s">
        <v>36</v>
      </c>
      <c r="O738" s="194" t="s">
        <v>256</v>
      </c>
      <c r="P738" s="211">
        <f t="shared" si="175"/>
        <v>1</v>
      </c>
      <c r="Q738" s="196">
        <f t="shared" si="176"/>
        <v>47733333</v>
      </c>
      <c r="R738" s="196">
        <f t="shared" si="177"/>
        <v>47733333</v>
      </c>
      <c r="S738" s="201" t="s">
        <v>217</v>
      </c>
      <c r="T738" s="211">
        <f t="shared" si="180"/>
        <v>0</v>
      </c>
      <c r="U738" s="198" t="str">
        <f t="shared" si="179"/>
        <v>SUBDIRECCION DE GESTION CONTRACTUAL</v>
      </c>
      <c r="V738" s="211" t="str">
        <f t="shared" si="173"/>
        <v>CO-DC</v>
      </c>
      <c r="W738" s="211" t="str">
        <f t="shared" si="174"/>
        <v>Distrito Capital de Bogotá</v>
      </c>
      <c r="X738" s="209" t="s">
        <v>512</v>
      </c>
      <c r="Y738" s="202">
        <v>2427400</v>
      </c>
      <c r="Z738" s="212" t="s">
        <v>154</v>
      </c>
    </row>
    <row r="739" spans="1:26" s="7" customFormat="1" ht="12.75" customHeight="1" x14ac:dyDescent="0.2">
      <c r="A739" s="208" t="s">
        <v>152</v>
      </c>
      <c r="B739" s="202">
        <v>85</v>
      </c>
      <c r="C739" s="203" t="s">
        <v>538</v>
      </c>
      <c r="D739" s="209" t="s">
        <v>153</v>
      </c>
      <c r="E739" s="210"/>
      <c r="F739" s="210">
        <v>14833333</v>
      </c>
      <c r="G739" s="210"/>
      <c r="H739" s="209" t="s">
        <v>703</v>
      </c>
      <c r="I739" s="203" t="s">
        <v>638</v>
      </c>
      <c r="J739" s="202">
        <v>1</v>
      </c>
      <c r="K739" s="202">
        <v>1</v>
      </c>
      <c r="L739" s="202">
        <v>12</v>
      </c>
      <c r="M739" s="185">
        <f t="shared" si="178"/>
        <v>1</v>
      </c>
      <c r="N739" s="193" t="s">
        <v>36</v>
      </c>
      <c r="O739" s="194" t="s">
        <v>256</v>
      </c>
      <c r="P739" s="211">
        <f t="shared" si="175"/>
        <v>1</v>
      </c>
      <c r="Q739" s="196">
        <f t="shared" si="176"/>
        <v>14833333</v>
      </c>
      <c r="R739" s="196">
        <f t="shared" si="177"/>
        <v>14833333</v>
      </c>
      <c r="S739" s="201" t="s">
        <v>217</v>
      </c>
      <c r="T739" s="211">
        <f t="shared" si="180"/>
        <v>0</v>
      </c>
      <c r="U739" s="198" t="str">
        <f t="shared" si="179"/>
        <v>SUBDIRECCION DE GESTION CONTRACTUAL</v>
      </c>
      <c r="V739" s="211" t="str">
        <f t="shared" si="173"/>
        <v>CO-DC</v>
      </c>
      <c r="W739" s="211" t="str">
        <f t="shared" si="174"/>
        <v>Distrito Capital de Bogotá</v>
      </c>
      <c r="X739" s="209" t="s">
        <v>512</v>
      </c>
      <c r="Y739" s="202">
        <v>2427400</v>
      </c>
      <c r="Z739" s="212" t="s">
        <v>154</v>
      </c>
    </row>
    <row r="740" spans="1:26" s="7" customFormat="1" ht="12.75" customHeight="1" x14ac:dyDescent="0.2">
      <c r="A740" s="208" t="s">
        <v>152</v>
      </c>
      <c r="B740" s="202">
        <v>86</v>
      </c>
      <c r="C740" s="203" t="s">
        <v>538</v>
      </c>
      <c r="D740" s="209" t="s">
        <v>153</v>
      </c>
      <c r="E740" s="210"/>
      <c r="F740" s="210">
        <v>299073280</v>
      </c>
      <c r="G740" s="210"/>
      <c r="H740" s="209" t="s">
        <v>703</v>
      </c>
      <c r="I740" s="203" t="s">
        <v>637</v>
      </c>
      <c r="J740" s="202">
        <v>1</v>
      </c>
      <c r="K740" s="202">
        <v>1</v>
      </c>
      <c r="L740" s="202">
        <v>12</v>
      </c>
      <c r="M740" s="185">
        <f t="shared" si="178"/>
        <v>1</v>
      </c>
      <c r="N740" s="193" t="s">
        <v>36</v>
      </c>
      <c r="O740" s="194" t="s">
        <v>256</v>
      </c>
      <c r="P740" s="211">
        <f t="shared" si="175"/>
        <v>1</v>
      </c>
      <c r="Q740" s="196">
        <f t="shared" si="176"/>
        <v>299073280</v>
      </c>
      <c r="R740" s="196">
        <f t="shared" si="177"/>
        <v>299073280</v>
      </c>
      <c r="S740" s="201" t="s">
        <v>217</v>
      </c>
      <c r="T740" s="211">
        <f t="shared" si="180"/>
        <v>0</v>
      </c>
      <c r="U740" s="198" t="str">
        <f t="shared" si="179"/>
        <v>SUBDIRECCION DE GESTION CONTRACTUAL</v>
      </c>
      <c r="V740" s="211" t="str">
        <f t="shared" si="173"/>
        <v>CO-DC</v>
      </c>
      <c r="W740" s="211" t="str">
        <f t="shared" si="174"/>
        <v>Distrito Capital de Bogotá</v>
      </c>
      <c r="X740" s="209" t="s">
        <v>512</v>
      </c>
      <c r="Y740" s="202">
        <v>2427400</v>
      </c>
      <c r="Z740" s="212" t="s">
        <v>154</v>
      </c>
    </row>
    <row r="741" spans="1:26" s="7" customFormat="1" ht="12.75" customHeight="1" x14ac:dyDescent="0.2">
      <c r="A741" s="208" t="s">
        <v>152</v>
      </c>
      <c r="B741" s="202">
        <v>87</v>
      </c>
      <c r="C741" s="203" t="s">
        <v>538</v>
      </c>
      <c r="D741" s="209" t="s">
        <v>153</v>
      </c>
      <c r="E741" s="210"/>
      <c r="F741" s="210">
        <v>1725297191</v>
      </c>
      <c r="G741" s="210"/>
      <c r="H741" s="209" t="s">
        <v>707</v>
      </c>
      <c r="I741" s="203" t="s">
        <v>636</v>
      </c>
      <c r="J741" s="202">
        <v>1</v>
      </c>
      <c r="K741" s="202">
        <v>1</v>
      </c>
      <c r="L741" s="202">
        <v>12</v>
      </c>
      <c r="M741" s="185">
        <f t="shared" si="178"/>
        <v>1</v>
      </c>
      <c r="N741" s="193" t="s">
        <v>36</v>
      </c>
      <c r="O741" s="194" t="s">
        <v>256</v>
      </c>
      <c r="P741" s="211">
        <f t="shared" si="175"/>
        <v>1</v>
      </c>
      <c r="Q741" s="196">
        <f t="shared" si="176"/>
        <v>1725297191</v>
      </c>
      <c r="R741" s="196">
        <f t="shared" si="177"/>
        <v>1725297191</v>
      </c>
      <c r="S741" s="201" t="s">
        <v>217</v>
      </c>
      <c r="T741" s="211">
        <f t="shared" si="180"/>
        <v>0</v>
      </c>
      <c r="U741" s="198" t="str">
        <f t="shared" si="179"/>
        <v>SUBDIRECCION DE GESTION CONTRACTUAL</v>
      </c>
      <c r="V741" s="211" t="str">
        <f t="shared" si="173"/>
        <v>CO-DC</v>
      </c>
      <c r="W741" s="211" t="str">
        <f t="shared" si="174"/>
        <v>Distrito Capital de Bogotá</v>
      </c>
      <c r="X741" s="209" t="s">
        <v>512</v>
      </c>
      <c r="Y741" s="202">
        <v>2427400</v>
      </c>
      <c r="Z741" s="212" t="s">
        <v>154</v>
      </c>
    </row>
    <row r="742" spans="1:26" s="7" customFormat="1" ht="12.75" customHeight="1" x14ac:dyDescent="0.2">
      <c r="A742" s="208" t="s">
        <v>152</v>
      </c>
      <c r="B742" s="202">
        <v>88</v>
      </c>
      <c r="C742" s="203" t="s">
        <v>538</v>
      </c>
      <c r="D742" s="209" t="s">
        <v>153</v>
      </c>
      <c r="E742" s="210"/>
      <c r="F742" s="210">
        <v>962792662</v>
      </c>
      <c r="G742" s="210"/>
      <c r="H742" s="209" t="s">
        <v>707</v>
      </c>
      <c r="I742" s="203" t="s">
        <v>635</v>
      </c>
      <c r="J742" s="202">
        <v>1</v>
      </c>
      <c r="K742" s="202">
        <v>1</v>
      </c>
      <c r="L742" s="202">
        <v>12</v>
      </c>
      <c r="M742" s="185">
        <f t="shared" si="178"/>
        <v>1</v>
      </c>
      <c r="N742" s="193" t="s">
        <v>36</v>
      </c>
      <c r="O742" s="194" t="s">
        <v>256</v>
      </c>
      <c r="P742" s="211">
        <f t="shared" si="175"/>
        <v>1</v>
      </c>
      <c r="Q742" s="196">
        <f t="shared" si="176"/>
        <v>962792662</v>
      </c>
      <c r="R742" s="196">
        <f t="shared" si="177"/>
        <v>962792662</v>
      </c>
      <c r="S742" s="201" t="s">
        <v>217</v>
      </c>
      <c r="T742" s="211">
        <f t="shared" si="180"/>
        <v>0</v>
      </c>
      <c r="U742" s="198" t="str">
        <f t="shared" si="179"/>
        <v>SUBDIRECCION DE GESTION CONTRACTUAL</v>
      </c>
      <c r="V742" s="211" t="str">
        <f t="shared" si="173"/>
        <v>CO-DC</v>
      </c>
      <c r="W742" s="211" t="str">
        <f t="shared" si="174"/>
        <v>Distrito Capital de Bogotá</v>
      </c>
      <c r="X742" s="209" t="s">
        <v>512</v>
      </c>
      <c r="Y742" s="202">
        <v>2427400</v>
      </c>
      <c r="Z742" s="212" t="s">
        <v>154</v>
      </c>
    </row>
    <row r="743" spans="1:26" s="7" customFormat="1" ht="12.75" customHeight="1" x14ac:dyDescent="0.2">
      <c r="A743" s="208" t="s">
        <v>152</v>
      </c>
      <c r="B743" s="202">
        <v>89</v>
      </c>
      <c r="C743" s="203" t="s">
        <v>538</v>
      </c>
      <c r="D743" s="209" t="s">
        <v>153</v>
      </c>
      <c r="E743" s="210"/>
      <c r="F743" s="210">
        <v>2038115564</v>
      </c>
      <c r="G743" s="210"/>
      <c r="H743" s="209" t="s">
        <v>707</v>
      </c>
      <c r="I743" s="203" t="s">
        <v>634</v>
      </c>
      <c r="J743" s="202">
        <v>1</v>
      </c>
      <c r="K743" s="202">
        <v>1</v>
      </c>
      <c r="L743" s="202">
        <v>12</v>
      </c>
      <c r="M743" s="185">
        <f t="shared" si="178"/>
        <v>1</v>
      </c>
      <c r="N743" s="193" t="s">
        <v>36</v>
      </c>
      <c r="O743" s="194" t="s">
        <v>256</v>
      </c>
      <c r="P743" s="211">
        <f t="shared" si="175"/>
        <v>1</v>
      </c>
      <c r="Q743" s="196">
        <f t="shared" si="176"/>
        <v>2038115564</v>
      </c>
      <c r="R743" s="196">
        <f t="shared" si="177"/>
        <v>2038115564</v>
      </c>
      <c r="S743" s="201" t="s">
        <v>217</v>
      </c>
      <c r="T743" s="211">
        <f t="shared" si="180"/>
        <v>0</v>
      </c>
      <c r="U743" s="198" t="str">
        <f t="shared" si="179"/>
        <v>SUBDIRECCION DE GESTION CONTRACTUAL</v>
      </c>
      <c r="V743" s="211" t="str">
        <f t="shared" si="173"/>
        <v>CO-DC</v>
      </c>
      <c r="W743" s="211" t="str">
        <f t="shared" si="174"/>
        <v>Distrito Capital de Bogotá</v>
      </c>
      <c r="X743" s="209" t="s">
        <v>512</v>
      </c>
      <c r="Y743" s="202">
        <v>2427400</v>
      </c>
      <c r="Z743" s="212" t="s">
        <v>154</v>
      </c>
    </row>
    <row r="744" spans="1:26" s="7" customFormat="1" ht="12.75" customHeight="1" x14ac:dyDescent="0.2">
      <c r="A744" s="208" t="s">
        <v>152</v>
      </c>
      <c r="B744" s="202">
        <v>90</v>
      </c>
      <c r="C744" s="203" t="s">
        <v>538</v>
      </c>
      <c r="D744" s="209" t="s">
        <v>153</v>
      </c>
      <c r="E744" s="210"/>
      <c r="F744" s="210">
        <v>729646729</v>
      </c>
      <c r="G744" s="210"/>
      <c r="H744" s="209" t="s">
        <v>707</v>
      </c>
      <c r="I744" s="203" t="s">
        <v>633</v>
      </c>
      <c r="J744" s="202">
        <v>1</v>
      </c>
      <c r="K744" s="202">
        <v>1</v>
      </c>
      <c r="L744" s="202">
        <v>12</v>
      </c>
      <c r="M744" s="185">
        <f t="shared" si="178"/>
        <v>1</v>
      </c>
      <c r="N744" s="193" t="s">
        <v>36</v>
      </c>
      <c r="O744" s="194" t="s">
        <v>256</v>
      </c>
      <c r="P744" s="211">
        <f t="shared" si="175"/>
        <v>1</v>
      </c>
      <c r="Q744" s="196">
        <f t="shared" si="176"/>
        <v>729646729</v>
      </c>
      <c r="R744" s="196">
        <f t="shared" si="177"/>
        <v>729646729</v>
      </c>
      <c r="S744" s="201" t="s">
        <v>217</v>
      </c>
      <c r="T744" s="211">
        <f t="shared" si="180"/>
        <v>0</v>
      </c>
      <c r="U744" s="198" t="str">
        <f t="shared" si="179"/>
        <v>SUBDIRECCION DE GESTION CONTRACTUAL</v>
      </c>
      <c r="V744" s="211" t="str">
        <f t="shared" si="173"/>
        <v>CO-DC</v>
      </c>
      <c r="W744" s="211" t="str">
        <f t="shared" si="174"/>
        <v>Distrito Capital de Bogotá</v>
      </c>
      <c r="X744" s="209" t="s">
        <v>512</v>
      </c>
      <c r="Y744" s="202">
        <v>2427400</v>
      </c>
      <c r="Z744" s="212" t="s">
        <v>154</v>
      </c>
    </row>
    <row r="745" spans="1:26" s="7" customFormat="1" ht="12.75" customHeight="1" x14ac:dyDescent="0.2">
      <c r="A745" s="208" t="s">
        <v>152</v>
      </c>
      <c r="B745" s="202">
        <v>91</v>
      </c>
      <c r="C745" s="203" t="s">
        <v>538</v>
      </c>
      <c r="D745" s="209" t="s">
        <v>153</v>
      </c>
      <c r="E745" s="210"/>
      <c r="F745" s="210">
        <v>3098514986</v>
      </c>
      <c r="G745" s="210"/>
      <c r="H745" s="209" t="s">
        <v>707</v>
      </c>
      <c r="I745" s="203" t="s">
        <v>632</v>
      </c>
      <c r="J745" s="202">
        <v>1</v>
      </c>
      <c r="K745" s="202">
        <v>1</v>
      </c>
      <c r="L745" s="202">
        <v>12</v>
      </c>
      <c r="M745" s="185">
        <f t="shared" si="178"/>
        <v>1</v>
      </c>
      <c r="N745" s="193" t="s">
        <v>36</v>
      </c>
      <c r="O745" s="194" t="s">
        <v>256</v>
      </c>
      <c r="P745" s="211">
        <f t="shared" si="175"/>
        <v>1</v>
      </c>
      <c r="Q745" s="196">
        <f t="shared" si="176"/>
        <v>3098514986</v>
      </c>
      <c r="R745" s="196">
        <f t="shared" si="177"/>
        <v>3098514986</v>
      </c>
      <c r="S745" s="201" t="s">
        <v>217</v>
      </c>
      <c r="T745" s="211">
        <f t="shared" si="180"/>
        <v>0</v>
      </c>
      <c r="U745" s="198" t="str">
        <f t="shared" si="179"/>
        <v>SUBDIRECCION DE GESTION CONTRACTUAL</v>
      </c>
      <c r="V745" s="211" t="str">
        <f t="shared" si="173"/>
        <v>CO-DC</v>
      </c>
      <c r="W745" s="211" t="str">
        <f t="shared" si="174"/>
        <v>Distrito Capital de Bogotá</v>
      </c>
      <c r="X745" s="209" t="s">
        <v>512</v>
      </c>
      <c r="Y745" s="202">
        <v>2427400</v>
      </c>
      <c r="Z745" s="212" t="s">
        <v>154</v>
      </c>
    </row>
    <row r="746" spans="1:26" s="7" customFormat="1" ht="12.75" customHeight="1" x14ac:dyDescent="0.2">
      <c r="A746" s="208" t="s">
        <v>152</v>
      </c>
      <c r="B746" s="202">
        <v>92</v>
      </c>
      <c r="C746" s="203" t="s">
        <v>538</v>
      </c>
      <c r="D746" s="209" t="s">
        <v>153</v>
      </c>
      <c r="E746" s="210"/>
      <c r="F746" s="210">
        <v>725962018</v>
      </c>
      <c r="G746" s="210"/>
      <c r="H746" s="209" t="s">
        <v>707</v>
      </c>
      <c r="I746" s="203" t="s">
        <v>631</v>
      </c>
      <c r="J746" s="202">
        <v>1</v>
      </c>
      <c r="K746" s="202">
        <v>1</v>
      </c>
      <c r="L746" s="202">
        <v>12</v>
      </c>
      <c r="M746" s="185">
        <f t="shared" si="178"/>
        <v>1</v>
      </c>
      <c r="N746" s="193" t="s">
        <v>36</v>
      </c>
      <c r="O746" s="194" t="s">
        <v>256</v>
      </c>
      <c r="P746" s="211">
        <f t="shared" si="175"/>
        <v>1</v>
      </c>
      <c r="Q746" s="196">
        <f t="shared" si="176"/>
        <v>725962018</v>
      </c>
      <c r="R746" s="196">
        <f t="shared" si="177"/>
        <v>725962018</v>
      </c>
      <c r="S746" s="201" t="s">
        <v>217</v>
      </c>
      <c r="T746" s="211">
        <f t="shared" si="180"/>
        <v>0</v>
      </c>
      <c r="U746" s="198" t="str">
        <f t="shared" si="179"/>
        <v>SUBDIRECCION DE GESTION CONTRACTUAL</v>
      </c>
      <c r="V746" s="211" t="str">
        <f t="shared" si="173"/>
        <v>CO-DC</v>
      </c>
      <c r="W746" s="211" t="str">
        <f t="shared" si="174"/>
        <v>Distrito Capital de Bogotá</v>
      </c>
      <c r="X746" s="209" t="s">
        <v>512</v>
      </c>
      <c r="Y746" s="202">
        <v>2427400</v>
      </c>
      <c r="Z746" s="212" t="s">
        <v>154</v>
      </c>
    </row>
    <row r="747" spans="1:26" s="7" customFormat="1" ht="12.75" customHeight="1" x14ac:dyDescent="0.2">
      <c r="A747" s="208" t="s">
        <v>152</v>
      </c>
      <c r="B747" s="202">
        <v>93</v>
      </c>
      <c r="C747" s="203" t="s">
        <v>538</v>
      </c>
      <c r="D747" s="209" t="s">
        <v>153</v>
      </c>
      <c r="E747" s="210"/>
      <c r="F747" s="210">
        <f>8400000000+1100000000</f>
        <v>9500000000</v>
      </c>
      <c r="G747" s="210"/>
      <c r="H747" s="209">
        <v>80111600</v>
      </c>
      <c r="I747" s="203" t="s">
        <v>630</v>
      </c>
      <c r="J747" s="202">
        <v>1</v>
      </c>
      <c r="K747" s="202">
        <v>1</v>
      </c>
      <c r="L747" s="202">
        <v>12</v>
      </c>
      <c r="M747" s="185">
        <f t="shared" si="178"/>
        <v>1</v>
      </c>
      <c r="N747" s="193" t="s">
        <v>210</v>
      </c>
      <c r="O747" s="194" t="s">
        <v>264</v>
      </c>
      <c r="P747" s="211">
        <f t="shared" si="175"/>
        <v>1</v>
      </c>
      <c r="Q747" s="196">
        <f t="shared" si="176"/>
        <v>9500000000</v>
      </c>
      <c r="R747" s="196">
        <f t="shared" si="177"/>
        <v>9500000000</v>
      </c>
      <c r="S747" s="201" t="s">
        <v>217</v>
      </c>
      <c r="T747" s="211">
        <f t="shared" si="180"/>
        <v>0</v>
      </c>
      <c r="U747" s="198" t="str">
        <f t="shared" si="179"/>
        <v>SUBDIRECCION DE GESTION CONTRACTUAL</v>
      </c>
      <c r="V747" s="211" t="str">
        <f t="shared" si="173"/>
        <v>CO-DC</v>
      </c>
      <c r="W747" s="211" t="str">
        <f t="shared" si="174"/>
        <v>Distrito Capital de Bogotá</v>
      </c>
      <c r="X747" s="209" t="s">
        <v>512</v>
      </c>
      <c r="Y747" s="202">
        <v>2427400</v>
      </c>
      <c r="Z747" s="127" t="s">
        <v>154</v>
      </c>
    </row>
    <row r="748" spans="1:26" s="7" customFormat="1" ht="12.75" customHeight="1" x14ac:dyDescent="0.2">
      <c r="A748" s="208" t="s">
        <v>152</v>
      </c>
      <c r="B748" s="202">
        <v>94</v>
      </c>
      <c r="C748" s="203" t="s">
        <v>538</v>
      </c>
      <c r="D748" s="209" t="s">
        <v>153</v>
      </c>
      <c r="E748" s="210"/>
      <c r="F748" s="210">
        <v>650000000</v>
      </c>
      <c r="G748" s="210"/>
      <c r="H748" s="188" t="s">
        <v>101</v>
      </c>
      <c r="I748" s="203" t="s">
        <v>555</v>
      </c>
      <c r="J748" s="190">
        <v>2</v>
      </c>
      <c r="K748" s="191">
        <v>3</v>
      </c>
      <c r="L748" s="192">
        <v>10</v>
      </c>
      <c r="M748" s="185">
        <f t="shared" si="178"/>
        <v>1</v>
      </c>
      <c r="N748" s="193" t="s">
        <v>36</v>
      </c>
      <c r="O748" s="194" t="s">
        <v>256</v>
      </c>
      <c r="P748" s="211">
        <f t="shared" si="175"/>
        <v>1</v>
      </c>
      <c r="Q748" s="196">
        <f t="shared" si="176"/>
        <v>650000000</v>
      </c>
      <c r="R748" s="196">
        <f t="shared" si="177"/>
        <v>650000000</v>
      </c>
      <c r="S748" s="201" t="s">
        <v>217</v>
      </c>
      <c r="T748" s="211">
        <f t="shared" si="180"/>
        <v>0</v>
      </c>
      <c r="U748" s="198" t="str">
        <f t="shared" si="179"/>
        <v>SUBDIRECCION DE GESTION CONTRACTUAL</v>
      </c>
      <c r="V748" s="211" t="str">
        <f t="shared" si="173"/>
        <v>CO-DC</v>
      </c>
      <c r="W748" s="211" t="str">
        <f t="shared" si="174"/>
        <v>Distrito Capital de Bogotá</v>
      </c>
      <c r="X748" s="209" t="s">
        <v>512</v>
      </c>
      <c r="Y748" s="202">
        <v>2427400</v>
      </c>
      <c r="Z748" s="212" t="s">
        <v>154</v>
      </c>
    </row>
    <row r="749" spans="1:26" s="7" customFormat="1" ht="12.75" customHeight="1" x14ac:dyDescent="0.2">
      <c r="A749" s="208" t="s">
        <v>152</v>
      </c>
      <c r="B749" s="202">
        <v>95</v>
      </c>
      <c r="C749" s="203" t="s">
        <v>538</v>
      </c>
      <c r="D749" s="209" t="s">
        <v>153</v>
      </c>
      <c r="E749" s="210"/>
      <c r="F749" s="210">
        <v>80000000</v>
      </c>
      <c r="G749" s="210"/>
      <c r="H749" s="188" t="s">
        <v>710</v>
      </c>
      <c r="I749" s="203" t="s">
        <v>539</v>
      </c>
      <c r="J749" s="206">
        <v>1</v>
      </c>
      <c r="K749" s="206">
        <v>2</v>
      </c>
      <c r="L749" s="206">
        <v>3</v>
      </c>
      <c r="M749" s="185">
        <f t="shared" si="178"/>
        <v>1</v>
      </c>
      <c r="N749" s="193" t="s">
        <v>36</v>
      </c>
      <c r="O749" s="194" t="s">
        <v>256</v>
      </c>
      <c r="P749" s="211">
        <f t="shared" si="175"/>
        <v>1</v>
      </c>
      <c r="Q749" s="196">
        <f t="shared" si="176"/>
        <v>80000000</v>
      </c>
      <c r="R749" s="196">
        <f t="shared" si="177"/>
        <v>80000000</v>
      </c>
      <c r="S749" s="201" t="s">
        <v>217</v>
      </c>
      <c r="T749" s="211">
        <f t="shared" si="180"/>
        <v>0</v>
      </c>
      <c r="U749" s="198" t="str">
        <f t="shared" si="179"/>
        <v>SUBDIRECCION DE GESTION CONTRACTUAL</v>
      </c>
      <c r="V749" s="211" t="str">
        <f t="shared" si="173"/>
        <v>CO-DC</v>
      </c>
      <c r="W749" s="211" t="str">
        <f t="shared" si="174"/>
        <v>Distrito Capital de Bogotá</v>
      </c>
      <c r="X749" s="209" t="s">
        <v>512</v>
      </c>
      <c r="Y749" s="202">
        <v>2427400</v>
      </c>
      <c r="Z749" s="212" t="s">
        <v>154</v>
      </c>
    </row>
    <row r="750" spans="1:26" s="7" customFormat="1" ht="12.75" customHeight="1" x14ac:dyDescent="0.2">
      <c r="A750" s="208" t="s">
        <v>152</v>
      </c>
      <c r="B750" s="202">
        <v>96</v>
      </c>
      <c r="C750" s="203" t="s">
        <v>538</v>
      </c>
      <c r="D750" s="209" t="s">
        <v>153</v>
      </c>
      <c r="E750" s="210"/>
      <c r="F750" s="210">
        <v>850000000</v>
      </c>
      <c r="G750" s="210"/>
      <c r="H750" s="188" t="s">
        <v>42</v>
      </c>
      <c r="I750" s="203" t="s">
        <v>544</v>
      </c>
      <c r="J750" s="190">
        <v>3</v>
      </c>
      <c r="K750" s="191">
        <v>4</v>
      </c>
      <c r="L750" s="192">
        <v>9</v>
      </c>
      <c r="M750" s="185">
        <f t="shared" si="178"/>
        <v>1</v>
      </c>
      <c r="N750" s="193" t="s">
        <v>61</v>
      </c>
      <c r="O750" s="194" t="s">
        <v>902</v>
      </c>
      <c r="P750" s="211">
        <f t="shared" si="175"/>
        <v>1</v>
      </c>
      <c r="Q750" s="196">
        <f t="shared" si="176"/>
        <v>850000000</v>
      </c>
      <c r="R750" s="196">
        <f t="shared" si="177"/>
        <v>850000000</v>
      </c>
      <c r="S750" s="201" t="s">
        <v>217</v>
      </c>
      <c r="T750" s="211">
        <f t="shared" si="180"/>
        <v>0</v>
      </c>
      <c r="U750" s="198" t="str">
        <f t="shared" si="179"/>
        <v>SUBDIRECCION DE GESTION CONTRACTUAL</v>
      </c>
      <c r="V750" s="185" t="str">
        <f t="shared" ref="V750:V781" si="181">IF(ISBLANK(N750),"","CO-DC")</f>
        <v>CO-DC</v>
      </c>
      <c r="W750" s="198" t="str">
        <f t="shared" ref="W750:W781" si="182">IF(ISBLANK(N750),"","Distrito Capital de Bogotá")</f>
        <v>Distrito Capital de Bogotá</v>
      </c>
      <c r="X750" s="209" t="s">
        <v>512</v>
      </c>
      <c r="Y750" s="202">
        <v>2427400</v>
      </c>
      <c r="Z750" s="212" t="s">
        <v>154</v>
      </c>
    </row>
    <row r="751" spans="1:26" s="7" customFormat="1" ht="12.75" customHeight="1" x14ac:dyDescent="0.2">
      <c r="A751" s="208" t="s">
        <v>152</v>
      </c>
      <c r="B751" s="202">
        <v>97</v>
      </c>
      <c r="C751" s="203" t="s">
        <v>750</v>
      </c>
      <c r="D751" s="209" t="s">
        <v>526</v>
      </c>
      <c r="E751" s="210"/>
      <c r="F751" s="210">
        <v>19980000000</v>
      </c>
      <c r="G751" s="210"/>
      <c r="H751" s="209" t="s">
        <v>703</v>
      </c>
      <c r="I751" s="203" t="s">
        <v>624</v>
      </c>
      <c r="J751" s="202">
        <v>1</v>
      </c>
      <c r="K751" s="202">
        <v>1</v>
      </c>
      <c r="L751" s="202">
        <v>12</v>
      </c>
      <c r="M751" s="185">
        <f t="shared" si="178"/>
        <v>1</v>
      </c>
      <c r="N751" s="193" t="s">
        <v>36</v>
      </c>
      <c r="O751" s="194" t="s">
        <v>256</v>
      </c>
      <c r="P751" s="211">
        <f t="shared" ref="P751:P782" si="183">IF(ISBLANK(N751),"",1)</f>
        <v>1</v>
      </c>
      <c r="Q751" s="196">
        <f t="shared" si="176"/>
        <v>19980000000</v>
      </c>
      <c r="R751" s="196">
        <f t="shared" si="177"/>
        <v>19980000000</v>
      </c>
      <c r="S751" s="201" t="s">
        <v>217</v>
      </c>
      <c r="T751" s="211">
        <f t="shared" si="180"/>
        <v>0</v>
      </c>
      <c r="U751" s="198" t="str">
        <f t="shared" si="179"/>
        <v>SUBDIRECCION DE GESTION CONTRACTUAL</v>
      </c>
      <c r="V751" s="211" t="str">
        <f t="shared" si="181"/>
        <v>CO-DC</v>
      </c>
      <c r="W751" s="211" t="str">
        <f t="shared" si="182"/>
        <v>Distrito Capital de Bogotá</v>
      </c>
      <c r="X751" s="209" t="s">
        <v>512</v>
      </c>
      <c r="Y751" s="202">
        <v>2427400</v>
      </c>
      <c r="Z751" s="212" t="s">
        <v>154</v>
      </c>
    </row>
    <row r="752" spans="1:26" s="7" customFormat="1" ht="12.75" customHeight="1" x14ac:dyDescent="0.2">
      <c r="A752" s="208" t="s">
        <v>152</v>
      </c>
      <c r="B752" s="202">
        <v>98</v>
      </c>
      <c r="C752" s="203" t="s">
        <v>750</v>
      </c>
      <c r="D752" s="209" t="s">
        <v>526</v>
      </c>
      <c r="E752" s="210"/>
      <c r="F752" s="210">
        <v>1184122275</v>
      </c>
      <c r="G752" s="210"/>
      <c r="H752" s="209" t="s">
        <v>707</v>
      </c>
      <c r="I752" s="203" t="s">
        <v>625</v>
      </c>
      <c r="J752" s="202">
        <v>1</v>
      </c>
      <c r="K752" s="202">
        <v>1</v>
      </c>
      <c r="L752" s="202">
        <v>12</v>
      </c>
      <c r="M752" s="185">
        <f t="shared" si="178"/>
        <v>1</v>
      </c>
      <c r="N752" s="193" t="s">
        <v>36</v>
      </c>
      <c r="O752" s="194" t="s">
        <v>256</v>
      </c>
      <c r="P752" s="211">
        <f t="shared" si="183"/>
        <v>1</v>
      </c>
      <c r="Q752" s="196">
        <f t="shared" si="176"/>
        <v>1184122275</v>
      </c>
      <c r="R752" s="196">
        <f t="shared" si="177"/>
        <v>1184122275</v>
      </c>
      <c r="S752" s="201" t="s">
        <v>217</v>
      </c>
      <c r="T752" s="211">
        <f t="shared" si="180"/>
        <v>0</v>
      </c>
      <c r="U752" s="198" t="str">
        <f t="shared" si="179"/>
        <v>SUBDIRECCION DE GESTION CONTRACTUAL</v>
      </c>
      <c r="V752" s="211" t="str">
        <f t="shared" si="181"/>
        <v>CO-DC</v>
      </c>
      <c r="W752" s="211" t="str">
        <f t="shared" si="182"/>
        <v>Distrito Capital de Bogotá</v>
      </c>
      <c r="X752" s="209" t="s">
        <v>512</v>
      </c>
      <c r="Y752" s="202">
        <v>2427400</v>
      </c>
      <c r="Z752" s="212" t="s">
        <v>154</v>
      </c>
    </row>
    <row r="753" spans="1:26" s="7" customFormat="1" ht="12.75" customHeight="1" x14ac:dyDescent="0.2">
      <c r="A753" s="208" t="s">
        <v>152</v>
      </c>
      <c r="B753" s="202">
        <v>99</v>
      </c>
      <c r="C753" s="203" t="s">
        <v>750</v>
      </c>
      <c r="D753" s="209" t="s">
        <v>526</v>
      </c>
      <c r="E753" s="210"/>
      <c r="F753" s="210">
        <v>1302951521</v>
      </c>
      <c r="G753" s="210"/>
      <c r="H753" s="209" t="s">
        <v>707</v>
      </c>
      <c r="I753" s="203" t="s">
        <v>626</v>
      </c>
      <c r="J753" s="202">
        <v>1</v>
      </c>
      <c r="K753" s="202">
        <v>1</v>
      </c>
      <c r="L753" s="202">
        <v>12</v>
      </c>
      <c r="M753" s="185">
        <f t="shared" si="178"/>
        <v>1</v>
      </c>
      <c r="N753" s="193" t="s">
        <v>36</v>
      </c>
      <c r="O753" s="194" t="s">
        <v>256</v>
      </c>
      <c r="P753" s="211">
        <f t="shared" si="183"/>
        <v>1</v>
      </c>
      <c r="Q753" s="196">
        <f t="shared" si="176"/>
        <v>1302951521</v>
      </c>
      <c r="R753" s="196">
        <f t="shared" si="177"/>
        <v>1302951521</v>
      </c>
      <c r="S753" s="201" t="s">
        <v>217</v>
      </c>
      <c r="T753" s="211">
        <f t="shared" si="180"/>
        <v>0</v>
      </c>
      <c r="U753" s="198" t="str">
        <f t="shared" si="179"/>
        <v>SUBDIRECCION DE GESTION CONTRACTUAL</v>
      </c>
      <c r="V753" s="211" t="str">
        <f t="shared" si="181"/>
        <v>CO-DC</v>
      </c>
      <c r="W753" s="211" t="str">
        <f t="shared" si="182"/>
        <v>Distrito Capital de Bogotá</v>
      </c>
      <c r="X753" s="209" t="s">
        <v>512</v>
      </c>
      <c r="Y753" s="202">
        <v>2427400</v>
      </c>
      <c r="Z753" s="212" t="s">
        <v>154</v>
      </c>
    </row>
    <row r="754" spans="1:26" s="7" customFormat="1" ht="12.75" customHeight="1" x14ac:dyDescent="0.2">
      <c r="A754" s="208" t="s">
        <v>152</v>
      </c>
      <c r="B754" s="202">
        <v>100</v>
      </c>
      <c r="C754" s="203" t="s">
        <v>750</v>
      </c>
      <c r="D754" s="209" t="s">
        <v>526</v>
      </c>
      <c r="E754" s="210"/>
      <c r="F754" s="210">
        <v>1351896195</v>
      </c>
      <c r="G754" s="210"/>
      <c r="H754" s="209" t="s">
        <v>707</v>
      </c>
      <c r="I754" s="203" t="s">
        <v>627</v>
      </c>
      <c r="J754" s="202">
        <v>1</v>
      </c>
      <c r="K754" s="202">
        <v>1</v>
      </c>
      <c r="L754" s="202">
        <v>12</v>
      </c>
      <c r="M754" s="185">
        <f t="shared" si="178"/>
        <v>1</v>
      </c>
      <c r="N754" s="193" t="s">
        <v>36</v>
      </c>
      <c r="O754" s="194" t="s">
        <v>256</v>
      </c>
      <c r="P754" s="211">
        <f t="shared" si="183"/>
        <v>1</v>
      </c>
      <c r="Q754" s="196">
        <f t="shared" si="176"/>
        <v>1351896195</v>
      </c>
      <c r="R754" s="196">
        <f t="shared" si="177"/>
        <v>1351896195</v>
      </c>
      <c r="S754" s="201" t="s">
        <v>217</v>
      </c>
      <c r="T754" s="211">
        <f t="shared" si="180"/>
        <v>0</v>
      </c>
      <c r="U754" s="198" t="str">
        <f t="shared" si="179"/>
        <v>SUBDIRECCION DE GESTION CONTRACTUAL</v>
      </c>
      <c r="V754" s="211" t="str">
        <f t="shared" si="181"/>
        <v>CO-DC</v>
      </c>
      <c r="W754" s="211" t="str">
        <f t="shared" si="182"/>
        <v>Distrito Capital de Bogotá</v>
      </c>
      <c r="X754" s="209" t="s">
        <v>512</v>
      </c>
      <c r="Y754" s="202">
        <v>2427400</v>
      </c>
      <c r="Z754" s="212" t="s">
        <v>154</v>
      </c>
    </row>
    <row r="755" spans="1:26" s="7" customFormat="1" ht="12.75" customHeight="1" x14ac:dyDescent="0.2">
      <c r="A755" s="208" t="s">
        <v>152</v>
      </c>
      <c r="B755" s="202">
        <v>101</v>
      </c>
      <c r="C755" s="203" t="s">
        <v>750</v>
      </c>
      <c r="D755" s="209" t="s">
        <v>526</v>
      </c>
      <c r="E755" s="210"/>
      <c r="F755" s="210">
        <v>1965929315</v>
      </c>
      <c r="G755" s="210"/>
      <c r="H755" s="209" t="s">
        <v>707</v>
      </c>
      <c r="I755" s="203" t="s">
        <v>628</v>
      </c>
      <c r="J755" s="202">
        <v>1</v>
      </c>
      <c r="K755" s="202">
        <v>1</v>
      </c>
      <c r="L755" s="202">
        <v>12</v>
      </c>
      <c r="M755" s="185">
        <f t="shared" si="178"/>
        <v>1</v>
      </c>
      <c r="N755" s="193" t="s">
        <v>36</v>
      </c>
      <c r="O755" s="194" t="s">
        <v>256</v>
      </c>
      <c r="P755" s="211">
        <f t="shared" si="183"/>
        <v>1</v>
      </c>
      <c r="Q755" s="196">
        <f t="shared" si="176"/>
        <v>1965929315</v>
      </c>
      <c r="R755" s="196">
        <f t="shared" si="177"/>
        <v>1965929315</v>
      </c>
      <c r="S755" s="201" t="s">
        <v>217</v>
      </c>
      <c r="T755" s="211">
        <f t="shared" si="180"/>
        <v>0</v>
      </c>
      <c r="U755" s="198" t="str">
        <f t="shared" si="179"/>
        <v>SUBDIRECCION DE GESTION CONTRACTUAL</v>
      </c>
      <c r="V755" s="211" t="str">
        <f t="shared" si="181"/>
        <v>CO-DC</v>
      </c>
      <c r="W755" s="211" t="str">
        <f t="shared" si="182"/>
        <v>Distrito Capital de Bogotá</v>
      </c>
      <c r="X755" s="209" t="s">
        <v>512</v>
      </c>
      <c r="Y755" s="202">
        <v>2427400</v>
      </c>
      <c r="Z755" s="212" t="s">
        <v>154</v>
      </c>
    </row>
    <row r="756" spans="1:26" s="7" customFormat="1" ht="12.75" customHeight="1" x14ac:dyDescent="0.2">
      <c r="A756" s="208" t="s">
        <v>152</v>
      </c>
      <c r="B756" s="202">
        <v>102</v>
      </c>
      <c r="C756" s="203" t="s">
        <v>750</v>
      </c>
      <c r="D756" s="209" t="s">
        <v>526</v>
      </c>
      <c r="E756" s="210"/>
      <c r="F756" s="210">
        <v>1700289171</v>
      </c>
      <c r="G756" s="210"/>
      <c r="H756" s="209" t="s">
        <v>707</v>
      </c>
      <c r="I756" s="203" t="s">
        <v>629</v>
      </c>
      <c r="J756" s="202">
        <v>1</v>
      </c>
      <c r="K756" s="202">
        <v>1</v>
      </c>
      <c r="L756" s="202">
        <v>12</v>
      </c>
      <c r="M756" s="185">
        <f t="shared" si="178"/>
        <v>1</v>
      </c>
      <c r="N756" s="193" t="s">
        <v>36</v>
      </c>
      <c r="O756" s="194" t="s">
        <v>256</v>
      </c>
      <c r="P756" s="211">
        <f t="shared" si="183"/>
        <v>1</v>
      </c>
      <c r="Q756" s="196">
        <f t="shared" si="176"/>
        <v>1700289171</v>
      </c>
      <c r="R756" s="196">
        <f t="shared" si="177"/>
        <v>1700289171</v>
      </c>
      <c r="S756" s="201" t="s">
        <v>217</v>
      </c>
      <c r="T756" s="211">
        <f t="shared" si="180"/>
        <v>0</v>
      </c>
      <c r="U756" s="198" t="str">
        <f t="shared" si="179"/>
        <v>SUBDIRECCION DE GESTION CONTRACTUAL</v>
      </c>
      <c r="V756" s="211" t="str">
        <f t="shared" si="181"/>
        <v>CO-DC</v>
      </c>
      <c r="W756" s="211" t="str">
        <f t="shared" si="182"/>
        <v>Distrito Capital de Bogotá</v>
      </c>
      <c r="X756" s="209" t="s">
        <v>512</v>
      </c>
      <c r="Y756" s="202">
        <v>2427400</v>
      </c>
      <c r="Z756" s="212" t="s">
        <v>154</v>
      </c>
    </row>
    <row r="757" spans="1:26" s="7" customFormat="1" ht="12.75" customHeight="1" x14ac:dyDescent="0.2">
      <c r="A757" s="208" t="s">
        <v>152</v>
      </c>
      <c r="B757" s="202">
        <v>103</v>
      </c>
      <c r="C757" s="203" t="s">
        <v>750</v>
      </c>
      <c r="D757" s="209" t="s">
        <v>526</v>
      </c>
      <c r="E757" s="210"/>
      <c r="F757" s="210">
        <v>1965929315</v>
      </c>
      <c r="G757" s="210"/>
      <c r="H757" s="209" t="s">
        <v>707</v>
      </c>
      <c r="I757" s="203" t="s">
        <v>623</v>
      </c>
      <c r="J757" s="202">
        <v>1</v>
      </c>
      <c r="K757" s="202">
        <v>1</v>
      </c>
      <c r="L757" s="202">
        <v>12</v>
      </c>
      <c r="M757" s="185">
        <f t="shared" si="178"/>
        <v>1</v>
      </c>
      <c r="N757" s="193" t="s">
        <v>36</v>
      </c>
      <c r="O757" s="194" t="s">
        <v>256</v>
      </c>
      <c r="P757" s="211">
        <f t="shared" si="183"/>
        <v>1</v>
      </c>
      <c r="Q757" s="196">
        <f t="shared" si="176"/>
        <v>1965929315</v>
      </c>
      <c r="R757" s="196">
        <f t="shared" si="177"/>
        <v>1965929315</v>
      </c>
      <c r="S757" s="201" t="s">
        <v>217</v>
      </c>
      <c r="T757" s="211">
        <f t="shared" si="180"/>
        <v>0</v>
      </c>
      <c r="U757" s="198" t="str">
        <f t="shared" si="179"/>
        <v>SUBDIRECCION DE GESTION CONTRACTUAL</v>
      </c>
      <c r="V757" s="211" t="str">
        <f t="shared" si="181"/>
        <v>CO-DC</v>
      </c>
      <c r="W757" s="211" t="str">
        <f t="shared" si="182"/>
        <v>Distrito Capital de Bogotá</v>
      </c>
      <c r="X757" s="209" t="s">
        <v>512</v>
      </c>
      <c r="Y757" s="202">
        <v>2427400</v>
      </c>
      <c r="Z757" s="212" t="s">
        <v>154</v>
      </c>
    </row>
    <row r="758" spans="1:26" s="7" customFormat="1" ht="12.75" customHeight="1" x14ac:dyDescent="0.2">
      <c r="A758" s="208" t="s">
        <v>152</v>
      </c>
      <c r="B758" s="202">
        <v>104</v>
      </c>
      <c r="C758" s="203" t="s">
        <v>750</v>
      </c>
      <c r="D758" s="209" t="s">
        <v>526</v>
      </c>
      <c r="E758" s="210"/>
      <c r="F758" s="210">
        <v>1481100270.5</v>
      </c>
      <c r="G758" s="210"/>
      <c r="H758" s="209" t="s">
        <v>707</v>
      </c>
      <c r="I758" s="203" t="s">
        <v>622</v>
      </c>
      <c r="J758" s="202">
        <v>1</v>
      </c>
      <c r="K758" s="202">
        <v>1</v>
      </c>
      <c r="L758" s="202">
        <v>12</v>
      </c>
      <c r="M758" s="185">
        <f t="shared" si="178"/>
        <v>1</v>
      </c>
      <c r="N758" s="193" t="s">
        <v>36</v>
      </c>
      <c r="O758" s="194" t="s">
        <v>256</v>
      </c>
      <c r="P758" s="211">
        <f t="shared" si="183"/>
        <v>1</v>
      </c>
      <c r="Q758" s="196">
        <f t="shared" si="176"/>
        <v>1481100270.5</v>
      </c>
      <c r="R758" s="196">
        <f t="shared" si="177"/>
        <v>1481100270.5</v>
      </c>
      <c r="S758" s="201" t="s">
        <v>217</v>
      </c>
      <c r="T758" s="211">
        <f t="shared" si="180"/>
        <v>0</v>
      </c>
      <c r="U758" s="198" t="str">
        <f t="shared" si="179"/>
        <v>SUBDIRECCION DE GESTION CONTRACTUAL</v>
      </c>
      <c r="V758" s="211" t="str">
        <f t="shared" si="181"/>
        <v>CO-DC</v>
      </c>
      <c r="W758" s="211" t="str">
        <f t="shared" si="182"/>
        <v>Distrito Capital de Bogotá</v>
      </c>
      <c r="X758" s="209" t="s">
        <v>512</v>
      </c>
      <c r="Y758" s="202">
        <v>2427400</v>
      </c>
      <c r="Z758" s="212" t="s">
        <v>154</v>
      </c>
    </row>
    <row r="759" spans="1:26" s="7" customFormat="1" ht="12.75" customHeight="1" x14ac:dyDescent="0.2">
      <c r="A759" s="208" t="s">
        <v>152</v>
      </c>
      <c r="B759" s="202">
        <v>105</v>
      </c>
      <c r="C759" s="203" t="s">
        <v>750</v>
      </c>
      <c r="D759" s="209" t="s">
        <v>526</v>
      </c>
      <c r="E759" s="210"/>
      <c r="F759" s="210">
        <v>5944059397</v>
      </c>
      <c r="G759" s="210"/>
      <c r="H759" s="209" t="s">
        <v>707</v>
      </c>
      <c r="I759" s="203" t="s">
        <v>621</v>
      </c>
      <c r="J759" s="202">
        <v>1</v>
      </c>
      <c r="K759" s="202">
        <v>1</v>
      </c>
      <c r="L759" s="202">
        <v>12</v>
      </c>
      <c r="M759" s="185">
        <f t="shared" si="178"/>
        <v>1</v>
      </c>
      <c r="N759" s="193" t="s">
        <v>36</v>
      </c>
      <c r="O759" s="194" t="s">
        <v>256</v>
      </c>
      <c r="P759" s="211">
        <f t="shared" si="183"/>
        <v>1</v>
      </c>
      <c r="Q759" s="196">
        <f t="shared" si="176"/>
        <v>5944059397</v>
      </c>
      <c r="R759" s="196">
        <f t="shared" si="177"/>
        <v>5944059397</v>
      </c>
      <c r="S759" s="201" t="s">
        <v>217</v>
      </c>
      <c r="T759" s="211">
        <f t="shared" si="180"/>
        <v>0</v>
      </c>
      <c r="U759" s="198" t="str">
        <f t="shared" si="179"/>
        <v>SUBDIRECCION DE GESTION CONTRACTUAL</v>
      </c>
      <c r="V759" s="211" t="str">
        <f t="shared" si="181"/>
        <v>CO-DC</v>
      </c>
      <c r="W759" s="211" t="str">
        <f t="shared" si="182"/>
        <v>Distrito Capital de Bogotá</v>
      </c>
      <c r="X759" s="209" t="s">
        <v>512</v>
      </c>
      <c r="Y759" s="202">
        <v>2427400</v>
      </c>
      <c r="Z759" s="212" t="s">
        <v>154</v>
      </c>
    </row>
    <row r="760" spans="1:26" s="7" customFormat="1" ht="12.75" customHeight="1" x14ac:dyDescent="0.2">
      <c r="A760" s="208" t="s">
        <v>152</v>
      </c>
      <c r="B760" s="202">
        <v>106</v>
      </c>
      <c r="C760" s="203" t="s">
        <v>750</v>
      </c>
      <c r="D760" s="209" t="s">
        <v>526</v>
      </c>
      <c r="E760" s="210"/>
      <c r="F760" s="210">
        <v>1393976725</v>
      </c>
      <c r="G760" s="210"/>
      <c r="H760" s="209" t="s">
        <v>707</v>
      </c>
      <c r="I760" s="203" t="s">
        <v>620</v>
      </c>
      <c r="J760" s="202">
        <v>1</v>
      </c>
      <c r="K760" s="202">
        <v>1</v>
      </c>
      <c r="L760" s="202">
        <v>12</v>
      </c>
      <c r="M760" s="185">
        <f t="shared" si="178"/>
        <v>1</v>
      </c>
      <c r="N760" s="193" t="s">
        <v>36</v>
      </c>
      <c r="O760" s="194" t="s">
        <v>256</v>
      </c>
      <c r="P760" s="211">
        <f t="shared" si="183"/>
        <v>1</v>
      </c>
      <c r="Q760" s="196">
        <f t="shared" si="176"/>
        <v>1393976725</v>
      </c>
      <c r="R760" s="196">
        <f t="shared" si="177"/>
        <v>1393976725</v>
      </c>
      <c r="S760" s="201" t="s">
        <v>217</v>
      </c>
      <c r="T760" s="211">
        <f t="shared" si="180"/>
        <v>0</v>
      </c>
      <c r="U760" s="198" t="str">
        <f t="shared" si="179"/>
        <v>SUBDIRECCION DE GESTION CONTRACTUAL</v>
      </c>
      <c r="V760" s="211" t="str">
        <f t="shared" si="181"/>
        <v>CO-DC</v>
      </c>
      <c r="W760" s="211" t="str">
        <f t="shared" si="182"/>
        <v>Distrito Capital de Bogotá</v>
      </c>
      <c r="X760" s="209" t="s">
        <v>512</v>
      </c>
      <c r="Y760" s="202">
        <v>2427400</v>
      </c>
      <c r="Z760" s="212" t="s">
        <v>154</v>
      </c>
    </row>
    <row r="761" spans="1:26" s="7" customFormat="1" ht="12.75" customHeight="1" x14ac:dyDescent="0.2">
      <c r="A761" s="208" t="s">
        <v>152</v>
      </c>
      <c r="B761" s="202">
        <v>107</v>
      </c>
      <c r="C761" s="203" t="s">
        <v>750</v>
      </c>
      <c r="D761" s="209" t="s">
        <v>526</v>
      </c>
      <c r="E761" s="210"/>
      <c r="F761" s="210">
        <v>4407956236</v>
      </c>
      <c r="G761" s="210"/>
      <c r="H761" s="209" t="s">
        <v>707</v>
      </c>
      <c r="I761" s="203" t="s">
        <v>619</v>
      </c>
      <c r="J761" s="202">
        <v>1</v>
      </c>
      <c r="K761" s="202">
        <v>1</v>
      </c>
      <c r="L761" s="202">
        <v>12</v>
      </c>
      <c r="M761" s="185">
        <f t="shared" si="178"/>
        <v>1</v>
      </c>
      <c r="N761" s="193" t="s">
        <v>36</v>
      </c>
      <c r="O761" s="194" t="s">
        <v>256</v>
      </c>
      <c r="P761" s="211">
        <f t="shared" si="183"/>
        <v>1</v>
      </c>
      <c r="Q761" s="196">
        <f t="shared" si="176"/>
        <v>4407956236</v>
      </c>
      <c r="R761" s="196">
        <f t="shared" si="177"/>
        <v>4407956236</v>
      </c>
      <c r="S761" s="201" t="s">
        <v>217</v>
      </c>
      <c r="T761" s="211">
        <f t="shared" si="180"/>
        <v>0</v>
      </c>
      <c r="U761" s="198" t="str">
        <f t="shared" si="179"/>
        <v>SUBDIRECCION DE GESTION CONTRACTUAL</v>
      </c>
      <c r="V761" s="211" t="str">
        <f t="shared" si="181"/>
        <v>CO-DC</v>
      </c>
      <c r="W761" s="211" t="str">
        <f t="shared" si="182"/>
        <v>Distrito Capital de Bogotá</v>
      </c>
      <c r="X761" s="209" t="s">
        <v>512</v>
      </c>
      <c r="Y761" s="202">
        <v>2427400</v>
      </c>
      <c r="Z761" s="212" t="s">
        <v>154</v>
      </c>
    </row>
    <row r="762" spans="1:26" s="7" customFormat="1" ht="12.75" customHeight="1" x14ac:dyDescent="0.2">
      <c r="A762" s="208" t="s">
        <v>152</v>
      </c>
      <c r="B762" s="202">
        <v>108</v>
      </c>
      <c r="C762" s="203" t="s">
        <v>750</v>
      </c>
      <c r="D762" s="209" t="s">
        <v>526</v>
      </c>
      <c r="E762" s="210"/>
      <c r="F762" s="210">
        <v>7235924929</v>
      </c>
      <c r="G762" s="210"/>
      <c r="H762" s="209" t="s">
        <v>707</v>
      </c>
      <c r="I762" s="203" t="s">
        <v>618</v>
      </c>
      <c r="J762" s="202">
        <v>1</v>
      </c>
      <c r="K762" s="202">
        <v>1</v>
      </c>
      <c r="L762" s="202">
        <v>12</v>
      </c>
      <c r="M762" s="185">
        <f t="shared" si="178"/>
        <v>1</v>
      </c>
      <c r="N762" s="193" t="s">
        <v>36</v>
      </c>
      <c r="O762" s="194" t="s">
        <v>256</v>
      </c>
      <c r="P762" s="211">
        <f t="shared" si="183"/>
        <v>1</v>
      </c>
      <c r="Q762" s="196">
        <f t="shared" si="176"/>
        <v>7235924929</v>
      </c>
      <c r="R762" s="196">
        <f t="shared" si="177"/>
        <v>7235924929</v>
      </c>
      <c r="S762" s="201" t="s">
        <v>217</v>
      </c>
      <c r="T762" s="211">
        <f t="shared" si="180"/>
        <v>0</v>
      </c>
      <c r="U762" s="198" t="str">
        <f t="shared" si="179"/>
        <v>SUBDIRECCION DE GESTION CONTRACTUAL</v>
      </c>
      <c r="V762" s="211" t="str">
        <f t="shared" si="181"/>
        <v>CO-DC</v>
      </c>
      <c r="W762" s="211" t="str">
        <f t="shared" si="182"/>
        <v>Distrito Capital de Bogotá</v>
      </c>
      <c r="X762" s="209" t="s">
        <v>512</v>
      </c>
      <c r="Y762" s="202">
        <v>2427400</v>
      </c>
      <c r="Z762" s="212" t="s">
        <v>154</v>
      </c>
    </row>
    <row r="763" spans="1:26" s="7" customFormat="1" ht="12.75" customHeight="1" x14ac:dyDescent="0.2">
      <c r="A763" s="208" t="s">
        <v>152</v>
      </c>
      <c r="B763" s="202">
        <v>109</v>
      </c>
      <c r="C763" s="203" t="s">
        <v>750</v>
      </c>
      <c r="D763" s="209" t="s">
        <v>526</v>
      </c>
      <c r="E763" s="210"/>
      <c r="F763" s="210">
        <v>1174429162</v>
      </c>
      <c r="G763" s="210"/>
      <c r="H763" s="209" t="s">
        <v>707</v>
      </c>
      <c r="I763" s="203" t="s">
        <v>617</v>
      </c>
      <c r="J763" s="202">
        <v>1</v>
      </c>
      <c r="K763" s="202">
        <v>1</v>
      </c>
      <c r="L763" s="202">
        <v>12</v>
      </c>
      <c r="M763" s="185">
        <f t="shared" si="178"/>
        <v>1</v>
      </c>
      <c r="N763" s="193" t="s">
        <v>36</v>
      </c>
      <c r="O763" s="194" t="s">
        <v>256</v>
      </c>
      <c r="P763" s="211">
        <f t="shared" si="183"/>
        <v>1</v>
      </c>
      <c r="Q763" s="196">
        <f t="shared" si="176"/>
        <v>1174429162</v>
      </c>
      <c r="R763" s="196">
        <f t="shared" si="177"/>
        <v>1174429162</v>
      </c>
      <c r="S763" s="201" t="s">
        <v>217</v>
      </c>
      <c r="T763" s="211">
        <f t="shared" si="180"/>
        <v>0</v>
      </c>
      <c r="U763" s="198" t="str">
        <f t="shared" si="179"/>
        <v>SUBDIRECCION DE GESTION CONTRACTUAL</v>
      </c>
      <c r="V763" s="211" t="str">
        <f t="shared" si="181"/>
        <v>CO-DC</v>
      </c>
      <c r="W763" s="211" t="str">
        <f t="shared" si="182"/>
        <v>Distrito Capital de Bogotá</v>
      </c>
      <c r="X763" s="209" t="s">
        <v>512</v>
      </c>
      <c r="Y763" s="202">
        <v>2427400</v>
      </c>
      <c r="Z763" s="212" t="s">
        <v>154</v>
      </c>
    </row>
    <row r="764" spans="1:26" s="7" customFormat="1" ht="12.75" customHeight="1" x14ac:dyDescent="0.2">
      <c r="A764" s="208" t="s">
        <v>152</v>
      </c>
      <c r="B764" s="202">
        <v>110</v>
      </c>
      <c r="C764" s="203" t="s">
        <v>750</v>
      </c>
      <c r="D764" s="209" t="s">
        <v>526</v>
      </c>
      <c r="E764" s="210"/>
      <c r="F764" s="210">
        <v>4428608739</v>
      </c>
      <c r="G764" s="210"/>
      <c r="H764" s="209" t="s">
        <v>707</v>
      </c>
      <c r="I764" s="203" t="s">
        <v>616</v>
      </c>
      <c r="J764" s="202">
        <v>1</v>
      </c>
      <c r="K764" s="202">
        <v>1</v>
      </c>
      <c r="L764" s="202">
        <v>12</v>
      </c>
      <c r="M764" s="185">
        <f t="shared" si="178"/>
        <v>1</v>
      </c>
      <c r="N764" s="193" t="s">
        <v>36</v>
      </c>
      <c r="O764" s="194" t="s">
        <v>256</v>
      </c>
      <c r="P764" s="211">
        <f t="shared" si="183"/>
        <v>1</v>
      </c>
      <c r="Q764" s="196">
        <f t="shared" si="176"/>
        <v>4428608739</v>
      </c>
      <c r="R764" s="196">
        <f t="shared" si="177"/>
        <v>4428608739</v>
      </c>
      <c r="S764" s="201" t="s">
        <v>217</v>
      </c>
      <c r="T764" s="211">
        <f t="shared" si="180"/>
        <v>0</v>
      </c>
      <c r="U764" s="198" t="str">
        <f t="shared" si="179"/>
        <v>SUBDIRECCION DE GESTION CONTRACTUAL</v>
      </c>
      <c r="V764" s="211" t="str">
        <f t="shared" si="181"/>
        <v>CO-DC</v>
      </c>
      <c r="W764" s="211" t="str">
        <f t="shared" si="182"/>
        <v>Distrito Capital de Bogotá</v>
      </c>
      <c r="X764" s="209" t="s">
        <v>512</v>
      </c>
      <c r="Y764" s="202">
        <v>2427400</v>
      </c>
      <c r="Z764" s="212" t="s">
        <v>154</v>
      </c>
    </row>
    <row r="765" spans="1:26" s="7" customFormat="1" ht="12.75" customHeight="1" x14ac:dyDescent="0.2">
      <c r="A765" s="208" t="s">
        <v>152</v>
      </c>
      <c r="B765" s="202">
        <v>111</v>
      </c>
      <c r="C765" s="203" t="s">
        <v>750</v>
      </c>
      <c r="D765" s="209" t="s">
        <v>526</v>
      </c>
      <c r="E765" s="210"/>
      <c r="F765" s="210">
        <v>1816499827</v>
      </c>
      <c r="G765" s="210"/>
      <c r="H765" s="209" t="s">
        <v>707</v>
      </c>
      <c r="I765" s="203" t="s">
        <v>615</v>
      </c>
      <c r="J765" s="202">
        <v>1</v>
      </c>
      <c r="K765" s="202">
        <v>1</v>
      </c>
      <c r="L765" s="202">
        <v>12</v>
      </c>
      <c r="M765" s="185">
        <f t="shared" si="178"/>
        <v>1</v>
      </c>
      <c r="N765" s="193" t="s">
        <v>36</v>
      </c>
      <c r="O765" s="194" t="s">
        <v>256</v>
      </c>
      <c r="P765" s="211">
        <f t="shared" si="183"/>
        <v>1</v>
      </c>
      <c r="Q765" s="196">
        <f t="shared" si="176"/>
        <v>1816499827</v>
      </c>
      <c r="R765" s="196">
        <f t="shared" si="177"/>
        <v>1816499827</v>
      </c>
      <c r="S765" s="201" t="s">
        <v>217</v>
      </c>
      <c r="T765" s="211">
        <f t="shared" si="180"/>
        <v>0</v>
      </c>
      <c r="U765" s="198" t="str">
        <f t="shared" si="179"/>
        <v>SUBDIRECCION DE GESTION CONTRACTUAL</v>
      </c>
      <c r="V765" s="211" t="str">
        <f t="shared" si="181"/>
        <v>CO-DC</v>
      </c>
      <c r="W765" s="211" t="str">
        <f t="shared" si="182"/>
        <v>Distrito Capital de Bogotá</v>
      </c>
      <c r="X765" s="209" t="s">
        <v>512</v>
      </c>
      <c r="Y765" s="202">
        <v>2427400</v>
      </c>
      <c r="Z765" s="212" t="s">
        <v>154</v>
      </c>
    </row>
    <row r="766" spans="1:26" s="7" customFormat="1" ht="12.75" customHeight="1" x14ac:dyDescent="0.2">
      <c r="A766" s="208" t="s">
        <v>152</v>
      </c>
      <c r="B766" s="202">
        <v>112</v>
      </c>
      <c r="C766" s="203" t="s">
        <v>750</v>
      </c>
      <c r="D766" s="209" t="s">
        <v>526</v>
      </c>
      <c r="E766" s="210"/>
      <c r="F766" s="210">
        <v>1965929315</v>
      </c>
      <c r="G766" s="210"/>
      <c r="H766" s="209" t="s">
        <v>707</v>
      </c>
      <c r="I766" s="203" t="s">
        <v>614</v>
      </c>
      <c r="J766" s="202">
        <v>1</v>
      </c>
      <c r="K766" s="202">
        <v>1</v>
      </c>
      <c r="L766" s="202">
        <v>12</v>
      </c>
      <c r="M766" s="185">
        <f t="shared" si="178"/>
        <v>1</v>
      </c>
      <c r="N766" s="193" t="s">
        <v>36</v>
      </c>
      <c r="O766" s="194" t="s">
        <v>256</v>
      </c>
      <c r="P766" s="211">
        <f t="shared" si="183"/>
        <v>1</v>
      </c>
      <c r="Q766" s="196">
        <f t="shared" si="176"/>
        <v>1965929315</v>
      </c>
      <c r="R766" s="196">
        <f t="shared" si="177"/>
        <v>1965929315</v>
      </c>
      <c r="S766" s="201" t="s">
        <v>217</v>
      </c>
      <c r="T766" s="211">
        <f t="shared" si="180"/>
        <v>0</v>
      </c>
      <c r="U766" s="198" t="str">
        <f t="shared" si="179"/>
        <v>SUBDIRECCION DE GESTION CONTRACTUAL</v>
      </c>
      <c r="V766" s="211" t="str">
        <f t="shared" si="181"/>
        <v>CO-DC</v>
      </c>
      <c r="W766" s="211" t="str">
        <f t="shared" si="182"/>
        <v>Distrito Capital de Bogotá</v>
      </c>
      <c r="X766" s="209" t="s">
        <v>512</v>
      </c>
      <c r="Y766" s="202">
        <v>2427400</v>
      </c>
      <c r="Z766" s="212" t="s">
        <v>154</v>
      </c>
    </row>
    <row r="767" spans="1:26" s="7" customFormat="1" ht="12.75" customHeight="1" x14ac:dyDescent="0.2">
      <c r="A767" s="208" t="s">
        <v>152</v>
      </c>
      <c r="B767" s="202">
        <v>113</v>
      </c>
      <c r="C767" s="203" t="s">
        <v>750</v>
      </c>
      <c r="D767" s="209" t="s">
        <v>526</v>
      </c>
      <c r="E767" s="210"/>
      <c r="F767" s="210">
        <v>6443016559</v>
      </c>
      <c r="G767" s="210"/>
      <c r="H767" s="209" t="s">
        <v>707</v>
      </c>
      <c r="I767" s="203" t="s">
        <v>613</v>
      </c>
      <c r="J767" s="202">
        <v>1</v>
      </c>
      <c r="K767" s="202">
        <v>1</v>
      </c>
      <c r="L767" s="202">
        <v>12</v>
      </c>
      <c r="M767" s="185">
        <f t="shared" ref="M767:M775" si="184">IF(ISBLANK(J767),"",1)</f>
        <v>1</v>
      </c>
      <c r="N767" s="193" t="s">
        <v>36</v>
      </c>
      <c r="O767" s="194" t="s">
        <v>256</v>
      </c>
      <c r="P767" s="211">
        <f t="shared" si="183"/>
        <v>1</v>
      </c>
      <c r="Q767" s="196">
        <f t="shared" si="176"/>
        <v>6443016559</v>
      </c>
      <c r="R767" s="196">
        <f t="shared" si="177"/>
        <v>6443016559</v>
      </c>
      <c r="S767" s="201" t="s">
        <v>217</v>
      </c>
      <c r="T767" s="211">
        <f t="shared" si="180"/>
        <v>0</v>
      </c>
      <c r="U767" s="198" t="str">
        <f t="shared" ref="U767:U794" si="185">IF(ISBLANK(N767),"","SUBDIRECCION DE GESTION CONTRACTUAL")</f>
        <v>SUBDIRECCION DE GESTION CONTRACTUAL</v>
      </c>
      <c r="V767" s="211" t="str">
        <f t="shared" si="181"/>
        <v>CO-DC</v>
      </c>
      <c r="W767" s="211" t="str">
        <f t="shared" si="182"/>
        <v>Distrito Capital de Bogotá</v>
      </c>
      <c r="X767" s="209" t="s">
        <v>512</v>
      </c>
      <c r="Y767" s="202">
        <v>2427400</v>
      </c>
      <c r="Z767" s="212" t="s">
        <v>154</v>
      </c>
    </row>
    <row r="768" spans="1:26" s="7" customFormat="1" ht="12.75" customHeight="1" x14ac:dyDescent="0.2">
      <c r="A768" s="208" t="s">
        <v>152</v>
      </c>
      <c r="B768" s="202">
        <v>114</v>
      </c>
      <c r="C768" s="203" t="s">
        <v>750</v>
      </c>
      <c r="D768" s="209" t="s">
        <v>526</v>
      </c>
      <c r="E768" s="210"/>
      <c r="F768" s="210">
        <v>5349657667.9499998</v>
      </c>
      <c r="G768" s="210"/>
      <c r="H768" s="209" t="s">
        <v>707</v>
      </c>
      <c r="I768" s="203" t="s">
        <v>612</v>
      </c>
      <c r="J768" s="202">
        <v>1</v>
      </c>
      <c r="K768" s="202">
        <v>1</v>
      </c>
      <c r="L768" s="202">
        <v>12</v>
      </c>
      <c r="M768" s="185">
        <f t="shared" si="184"/>
        <v>1</v>
      </c>
      <c r="N768" s="193" t="s">
        <v>36</v>
      </c>
      <c r="O768" s="194" t="s">
        <v>256</v>
      </c>
      <c r="P768" s="211">
        <f t="shared" si="183"/>
        <v>1</v>
      </c>
      <c r="Q768" s="196">
        <f t="shared" si="176"/>
        <v>5349657667.9499998</v>
      </c>
      <c r="R768" s="196">
        <f t="shared" si="177"/>
        <v>5349657667.9499998</v>
      </c>
      <c r="S768" s="201" t="s">
        <v>217</v>
      </c>
      <c r="T768" s="211">
        <f t="shared" ref="T768:T794" si="186">IF(ISBLANK(S768),"",IF(VALUE(S768)=0,0,IF(VALUE(S768)=1,3,"")))</f>
        <v>0</v>
      </c>
      <c r="U768" s="198" t="str">
        <f t="shared" si="185"/>
        <v>SUBDIRECCION DE GESTION CONTRACTUAL</v>
      </c>
      <c r="V768" s="211" t="str">
        <f t="shared" si="181"/>
        <v>CO-DC</v>
      </c>
      <c r="W768" s="211" t="str">
        <f t="shared" si="182"/>
        <v>Distrito Capital de Bogotá</v>
      </c>
      <c r="X768" s="209" t="s">
        <v>512</v>
      </c>
      <c r="Y768" s="202">
        <v>2427400</v>
      </c>
      <c r="Z768" s="212" t="s">
        <v>154</v>
      </c>
    </row>
    <row r="769" spans="1:26" s="7" customFormat="1" ht="12.75" customHeight="1" x14ac:dyDescent="0.2">
      <c r="A769" s="208" t="s">
        <v>152</v>
      </c>
      <c r="B769" s="202">
        <v>115</v>
      </c>
      <c r="C769" s="203" t="s">
        <v>750</v>
      </c>
      <c r="D769" s="209" t="s">
        <v>526</v>
      </c>
      <c r="E769" s="210"/>
      <c r="F769" s="210">
        <v>4254451334</v>
      </c>
      <c r="G769" s="210"/>
      <c r="H769" s="209" t="s">
        <v>707</v>
      </c>
      <c r="I769" s="203" t="s">
        <v>611</v>
      </c>
      <c r="J769" s="202">
        <v>1</v>
      </c>
      <c r="K769" s="202">
        <v>1</v>
      </c>
      <c r="L769" s="202">
        <v>12</v>
      </c>
      <c r="M769" s="185">
        <f t="shared" si="184"/>
        <v>1</v>
      </c>
      <c r="N769" s="193" t="s">
        <v>36</v>
      </c>
      <c r="O769" s="194" t="s">
        <v>256</v>
      </c>
      <c r="P769" s="211">
        <f t="shared" si="183"/>
        <v>1</v>
      </c>
      <c r="Q769" s="196">
        <f t="shared" si="176"/>
        <v>4254451334</v>
      </c>
      <c r="R769" s="196">
        <f t="shared" si="177"/>
        <v>4254451334</v>
      </c>
      <c r="S769" s="201" t="s">
        <v>217</v>
      </c>
      <c r="T769" s="211">
        <f t="shared" si="186"/>
        <v>0</v>
      </c>
      <c r="U769" s="198" t="str">
        <f t="shared" si="185"/>
        <v>SUBDIRECCION DE GESTION CONTRACTUAL</v>
      </c>
      <c r="V769" s="211" t="str">
        <f t="shared" si="181"/>
        <v>CO-DC</v>
      </c>
      <c r="W769" s="211" t="str">
        <f t="shared" si="182"/>
        <v>Distrito Capital de Bogotá</v>
      </c>
      <c r="X769" s="209" t="s">
        <v>512</v>
      </c>
      <c r="Y769" s="202">
        <v>2427400</v>
      </c>
      <c r="Z769" s="212" t="s">
        <v>154</v>
      </c>
    </row>
    <row r="770" spans="1:26" s="7" customFormat="1" ht="12.75" customHeight="1" x14ac:dyDescent="0.2">
      <c r="A770" s="208" t="s">
        <v>152</v>
      </c>
      <c r="B770" s="202">
        <v>116</v>
      </c>
      <c r="C770" s="203" t="s">
        <v>750</v>
      </c>
      <c r="D770" s="209" t="s">
        <v>526</v>
      </c>
      <c r="E770" s="210"/>
      <c r="F770" s="210">
        <v>1664508782.5999999</v>
      </c>
      <c r="G770" s="210"/>
      <c r="H770" s="209" t="s">
        <v>707</v>
      </c>
      <c r="I770" s="203" t="s">
        <v>610</v>
      </c>
      <c r="J770" s="202">
        <v>1</v>
      </c>
      <c r="K770" s="202">
        <v>1</v>
      </c>
      <c r="L770" s="202">
        <v>12</v>
      </c>
      <c r="M770" s="185">
        <f t="shared" si="184"/>
        <v>1</v>
      </c>
      <c r="N770" s="193" t="s">
        <v>36</v>
      </c>
      <c r="O770" s="194" t="s">
        <v>256</v>
      </c>
      <c r="P770" s="211">
        <f t="shared" si="183"/>
        <v>1</v>
      </c>
      <c r="Q770" s="196">
        <f t="shared" si="176"/>
        <v>1664508782.5999999</v>
      </c>
      <c r="R770" s="196">
        <f t="shared" si="177"/>
        <v>1664508782.5999999</v>
      </c>
      <c r="S770" s="201" t="s">
        <v>217</v>
      </c>
      <c r="T770" s="211">
        <f t="shared" si="186"/>
        <v>0</v>
      </c>
      <c r="U770" s="198" t="str">
        <f t="shared" si="185"/>
        <v>SUBDIRECCION DE GESTION CONTRACTUAL</v>
      </c>
      <c r="V770" s="211" t="str">
        <f t="shared" si="181"/>
        <v>CO-DC</v>
      </c>
      <c r="W770" s="211" t="str">
        <f t="shared" si="182"/>
        <v>Distrito Capital de Bogotá</v>
      </c>
      <c r="X770" s="209" t="s">
        <v>512</v>
      </c>
      <c r="Y770" s="202">
        <v>2427400</v>
      </c>
      <c r="Z770" s="212" t="s">
        <v>154</v>
      </c>
    </row>
    <row r="771" spans="1:26" s="7" customFormat="1" ht="12.75" customHeight="1" x14ac:dyDescent="0.2">
      <c r="A771" s="208" t="s">
        <v>152</v>
      </c>
      <c r="B771" s="202">
        <v>117</v>
      </c>
      <c r="C771" s="203" t="s">
        <v>752</v>
      </c>
      <c r="D771" s="209" t="s">
        <v>155</v>
      </c>
      <c r="E771" s="210"/>
      <c r="F771" s="210">
        <v>608003369</v>
      </c>
      <c r="G771" s="210"/>
      <c r="H771" s="209">
        <v>45121500</v>
      </c>
      <c r="I771" s="203" t="s">
        <v>609</v>
      </c>
      <c r="J771" s="202">
        <v>1</v>
      </c>
      <c r="K771" s="202">
        <v>1</v>
      </c>
      <c r="L771" s="202">
        <v>12</v>
      </c>
      <c r="M771" s="185">
        <f t="shared" si="184"/>
        <v>1</v>
      </c>
      <c r="N771" s="193" t="s">
        <v>36</v>
      </c>
      <c r="O771" s="194" t="s">
        <v>256</v>
      </c>
      <c r="P771" s="211">
        <f t="shared" si="183"/>
        <v>1</v>
      </c>
      <c r="Q771" s="196">
        <f t="shared" si="176"/>
        <v>608003369</v>
      </c>
      <c r="R771" s="196">
        <f t="shared" si="177"/>
        <v>608003369</v>
      </c>
      <c r="S771" s="201" t="s">
        <v>217</v>
      </c>
      <c r="T771" s="211">
        <f t="shared" si="186"/>
        <v>0</v>
      </c>
      <c r="U771" s="198" t="str">
        <f t="shared" si="185"/>
        <v>SUBDIRECCION DE GESTION CONTRACTUAL</v>
      </c>
      <c r="V771" s="211" t="str">
        <f t="shared" si="181"/>
        <v>CO-DC</v>
      </c>
      <c r="W771" s="211" t="str">
        <f t="shared" si="182"/>
        <v>Distrito Capital de Bogotá</v>
      </c>
      <c r="X771" s="209" t="s">
        <v>512</v>
      </c>
      <c r="Y771" s="202">
        <v>2427400</v>
      </c>
      <c r="Z771" s="212" t="s">
        <v>154</v>
      </c>
    </row>
    <row r="772" spans="1:26" s="7" customFormat="1" ht="12.75" customHeight="1" x14ac:dyDescent="0.2">
      <c r="A772" s="208" t="s">
        <v>152</v>
      </c>
      <c r="B772" s="202">
        <v>118</v>
      </c>
      <c r="C772" s="203" t="s">
        <v>752</v>
      </c>
      <c r="D772" s="209" t="s">
        <v>155</v>
      </c>
      <c r="E772" s="210"/>
      <c r="F772" s="210">
        <v>491099100</v>
      </c>
      <c r="G772" s="210"/>
      <c r="H772" s="209">
        <v>45121500</v>
      </c>
      <c r="I772" s="203" t="s">
        <v>608</v>
      </c>
      <c r="J772" s="202">
        <v>1</v>
      </c>
      <c r="K772" s="202">
        <v>1</v>
      </c>
      <c r="L772" s="202">
        <v>12</v>
      </c>
      <c r="M772" s="185">
        <f t="shared" si="184"/>
        <v>1</v>
      </c>
      <c r="N772" s="193" t="s">
        <v>36</v>
      </c>
      <c r="O772" s="194" t="s">
        <v>256</v>
      </c>
      <c r="P772" s="211">
        <f t="shared" si="183"/>
        <v>1</v>
      </c>
      <c r="Q772" s="196">
        <f t="shared" si="176"/>
        <v>491099100</v>
      </c>
      <c r="R772" s="196">
        <f t="shared" si="177"/>
        <v>491099100</v>
      </c>
      <c r="S772" s="201" t="s">
        <v>217</v>
      </c>
      <c r="T772" s="211">
        <f t="shared" si="186"/>
        <v>0</v>
      </c>
      <c r="U772" s="198" t="str">
        <f t="shared" si="185"/>
        <v>SUBDIRECCION DE GESTION CONTRACTUAL</v>
      </c>
      <c r="V772" s="211" t="str">
        <f t="shared" si="181"/>
        <v>CO-DC</v>
      </c>
      <c r="W772" s="211" t="str">
        <f t="shared" si="182"/>
        <v>Distrito Capital de Bogotá</v>
      </c>
      <c r="X772" s="209" t="s">
        <v>512</v>
      </c>
      <c r="Y772" s="202">
        <v>2427400</v>
      </c>
      <c r="Z772" s="212" t="s">
        <v>154</v>
      </c>
    </row>
    <row r="773" spans="1:26" s="7" customFormat="1" ht="12.75" customHeight="1" x14ac:dyDescent="0.2">
      <c r="A773" s="208" t="s">
        <v>152</v>
      </c>
      <c r="B773" s="202">
        <v>119</v>
      </c>
      <c r="C773" s="203" t="s">
        <v>752</v>
      </c>
      <c r="D773" s="209" t="s">
        <v>155</v>
      </c>
      <c r="E773" s="210"/>
      <c r="F773" s="210">
        <v>509619274</v>
      </c>
      <c r="G773" s="210"/>
      <c r="H773" s="209">
        <v>45121500</v>
      </c>
      <c r="I773" s="203" t="s">
        <v>607</v>
      </c>
      <c r="J773" s="202">
        <v>1</v>
      </c>
      <c r="K773" s="202">
        <v>1</v>
      </c>
      <c r="L773" s="202">
        <v>12</v>
      </c>
      <c r="M773" s="185">
        <f t="shared" si="184"/>
        <v>1</v>
      </c>
      <c r="N773" s="193" t="s">
        <v>36</v>
      </c>
      <c r="O773" s="194" t="s">
        <v>256</v>
      </c>
      <c r="P773" s="211">
        <f t="shared" si="183"/>
        <v>1</v>
      </c>
      <c r="Q773" s="196">
        <f t="shared" si="176"/>
        <v>509619274</v>
      </c>
      <c r="R773" s="196">
        <f t="shared" si="177"/>
        <v>509619274</v>
      </c>
      <c r="S773" s="201" t="s">
        <v>217</v>
      </c>
      <c r="T773" s="211">
        <f t="shared" si="186"/>
        <v>0</v>
      </c>
      <c r="U773" s="198" t="str">
        <f t="shared" si="185"/>
        <v>SUBDIRECCION DE GESTION CONTRACTUAL</v>
      </c>
      <c r="V773" s="211" t="str">
        <f t="shared" si="181"/>
        <v>CO-DC</v>
      </c>
      <c r="W773" s="211" t="str">
        <f t="shared" si="182"/>
        <v>Distrito Capital de Bogotá</v>
      </c>
      <c r="X773" s="209" t="s">
        <v>512</v>
      </c>
      <c r="Y773" s="202">
        <v>2427400</v>
      </c>
      <c r="Z773" s="212" t="s">
        <v>154</v>
      </c>
    </row>
    <row r="774" spans="1:26" s="7" customFormat="1" ht="12.75" customHeight="1" x14ac:dyDescent="0.2">
      <c r="A774" s="208" t="s">
        <v>152</v>
      </c>
      <c r="B774" s="202">
        <v>120</v>
      </c>
      <c r="C774" s="203" t="s">
        <v>752</v>
      </c>
      <c r="D774" s="209" t="s">
        <v>155</v>
      </c>
      <c r="E774" s="210"/>
      <c r="F774" s="210">
        <v>17982695111</v>
      </c>
      <c r="G774" s="210"/>
      <c r="H774" s="209">
        <v>45121500</v>
      </c>
      <c r="I774" s="203" t="s">
        <v>606</v>
      </c>
      <c r="J774" s="202">
        <v>1</v>
      </c>
      <c r="K774" s="202">
        <v>1</v>
      </c>
      <c r="L774" s="202">
        <v>12</v>
      </c>
      <c r="M774" s="185">
        <f t="shared" si="184"/>
        <v>1</v>
      </c>
      <c r="N774" s="193" t="s">
        <v>36</v>
      </c>
      <c r="O774" s="194" t="s">
        <v>256</v>
      </c>
      <c r="P774" s="211">
        <f t="shared" si="183"/>
        <v>1</v>
      </c>
      <c r="Q774" s="196">
        <f t="shared" si="176"/>
        <v>17982695111</v>
      </c>
      <c r="R774" s="196">
        <f t="shared" si="177"/>
        <v>17982695111</v>
      </c>
      <c r="S774" s="201" t="s">
        <v>217</v>
      </c>
      <c r="T774" s="211">
        <f t="shared" si="186"/>
        <v>0</v>
      </c>
      <c r="U774" s="198" t="str">
        <f t="shared" si="185"/>
        <v>SUBDIRECCION DE GESTION CONTRACTUAL</v>
      </c>
      <c r="V774" s="211" t="str">
        <f t="shared" si="181"/>
        <v>CO-DC</v>
      </c>
      <c r="W774" s="211" t="str">
        <f t="shared" si="182"/>
        <v>Distrito Capital de Bogotá</v>
      </c>
      <c r="X774" s="209" t="s">
        <v>512</v>
      </c>
      <c r="Y774" s="202">
        <v>2427400</v>
      </c>
      <c r="Z774" s="212" t="s">
        <v>154</v>
      </c>
    </row>
    <row r="775" spans="1:26" s="7" customFormat="1" ht="12.75" customHeight="1" x14ac:dyDescent="0.2">
      <c r="A775" s="208" t="s">
        <v>152</v>
      </c>
      <c r="B775" s="202">
        <v>121</v>
      </c>
      <c r="C775" s="203" t="s">
        <v>752</v>
      </c>
      <c r="D775" s="209" t="s">
        <v>155</v>
      </c>
      <c r="E775" s="210"/>
      <c r="F775" s="210">
        <f>1500000000-5443831</f>
        <v>1494556169</v>
      </c>
      <c r="G775" s="210"/>
      <c r="H775" s="209">
        <v>80111600</v>
      </c>
      <c r="I775" s="203" t="s">
        <v>605</v>
      </c>
      <c r="J775" s="202">
        <v>1</v>
      </c>
      <c r="K775" s="202">
        <v>1</v>
      </c>
      <c r="L775" s="202">
        <v>12</v>
      </c>
      <c r="M775" s="185">
        <f t="shared" si="184"/>
        <v>1</v>
      </c>
      <c r="N775" s="193" t="s">
        <v>210</v>
      </c>
      <c r="O775" s="194" t="s">
        <v>264</v>
      </c>
      <c r="P775" s="211">
        <f t="shared" si="183"/>
        <v>1</v>
      </c>
      <c r="Q775" s="196">
        <f t="shared" si="176"/>
        <v>1494556169</v>
      </c>
      <c r="R775" s="196">
        <f t="shared" si="177"/>
        <v>1494556169</v>
      </c>
      <c r="S775" s="201" t="s">
        <v>217</v>
      </c>
      <c r="T775" s="211">
        <f t="shared" si="186"/>
        <v>0</v>
      </c>
      <c r="U775" s="198" t="str">
        <f t="shared" si="185"/>
        <v>SUBDIRECCION DE GESTION CONTRACTUAL</v>
      </c>
      <c r="V775" s="211" t="str">
        <f t="shared" si="181"/>
        <v>CO-DC</v>
      </c>
      <c r="W775" s="211" t="str">
        <f t="shared" si="182"/>
        <v>Distrito Capital de Bogotá</v>
      </c>
      <c r="X775" s="209" t="s">
        <v>512</v>
      </c>
      <c r="Y775" s="202">
        <v>2427400</v>
      </c>
      <c r="Z775" s="212" t="s">
        <v>154</v>
      </c>
    </row>
    <row r="776" spans="1:26" s="7" customFormat="1" ht="12.75" customHeight="1" x14ac:dyDescent="0.2">
      <c r="A776" s="208" t="s">
        <v>152</v>
      </c>
      <c r="B776" s="202">
        <v>122</v>
      </c>
      <c r="C776" s="203" t="s">
        <v>538</v>
      </c>
      <c r="D776" s="209" t="s">
        <v>153</v>
      </c>
      <c r="E776" s="210"/>
      <c r="F776" s="210">
        <v>117000000</v>
      </c>
      <c r="G776" s="210"/>
      <c r="H776" s="209" t="s">
        <v>117</v>
      </c>
      <c r="I776" s="203" t="s">
        <v>762</v>
      </c>
      <c r="J776" s="202">
        <v>6</v>
      </c>
      <c r="K776" s="202">
        <v>6</v>
      </c>
      <c r="L776" s="202">
        <v>6</v>
      </c>
      <c r="M776" s="185">
        <v>1</v>
      </c>
      <c r="N776" s="278" t="s">
        <v>210</v>
      </c>
      <c r="O776" s="194" t="s">
        <v>264</v>
      </c>
      <c r="P776" s="211">
        <f t="shared" si="183"/>
        <v>1</v>
      </c>
      <c r="Q776" s="196">
        <f>IF(VALUE(E776+F776+G776)=0,"",E776+F776+G776)</f>
        <v>117000000</v>
      </c>
      <c r="R776" s="196">
        <f>IF(VALUE(F776)=0,"",F776)</f>
        <v>117000000</v>
      </c>
      <c r="S776" s="201" t="s">
        <v>217</v>
      </c>
      <c r="T776" s="211">
        <f t="shared" si="186"/>
        <v>0</v>
      </c>
      <c r="U776" s="198" t="str">
        <f t="shared" si="185"/>
        <v>SUBDIRECCION DE GESTION CONTRACTUAL</v>
      </c>
      <c r="V776" s="211" t="str">
        <f t="shared" si="181"/>
        <v>CO-DC</v>
      </c>
      <c r="W776" s="211" t="str">
        <f t="shared" si="182"/>
        <v>Distrito Capital de Bogotá</v>
      </c>
      <c r="X776" s="209" t="s">
        <v>512</v>
      </c>
      <c r="Y776" s="202">
        <v>2427400</v>
      </c>
      <c r="Z776" s="212" t="s">
        <v>154</v>
      </c>
    </row>
    <row r="777" spans="1:26" s="7" customFormat="1" ht="12.75" customHeight="1" x14ac:dyDescent="0.2">
      <c r="A777" s="208" t="s">
        <v>152</v>
      </c>
      <c r="B777" s="202">
        <v>123</v>
      </c>
      <c r="C777" s="203" t="s">
        <v>538</v>
      </c>
      <c r="D777" s="209" t="s">
        <v>153</v>
      </c>
      <c r="E777" s="210"/>
      <c r="F777" s="210">
        <f>370000000</f>
        <v>370000000</v>
      </c>
      <c r="G777" s="210"/>
      <c r="H777" s="209" t="s">
        <v>710</v>
      </c>
      <c r="I777" s="203" t="s">
        <v>539</v>
      </c>
      <c r="J777" s="202">
        <v>2</v>
      </c>
      <c r="K777" s="202">
        <v>3</v>
      </c>
      <c r="L777" s="202">
        <v>9</v>
      </c>
      <c r="M777" s="185">
        <v>1</v>
      </c>
      <c r="N777" s="193" t="s">
        <v>221</v>
      </c>
      <c r="O777" s="194" t="s">
        <v>903</v>
      </c>
      <c r="P777" s="211">
        <f t="shared" si="183"/>
        <v>1</v>
      </c>
      <c r="Q777" s="196">
        <f t="shared" ref="Q777:Q808" si="187">+E777+F777+G777</f>
        <v>370000000</v>
      </c>
      <c r="R777" s="196">
        <f t="shared" ref="R777:R808" si="188">+F777</f>
        <v>370000000</v>
      </c>
      <c r="S777" s="201" t="s">
        <v>217</v>
      </c>
      <c r="T777" s="211">
        <f t="shared" si="186"/>
        <v>0</v>
      </c>
      <c r="U777" s="198" t="str">
        <f t="shared" si="185"/>
        <v>SUBDIRECCION DE GESTION CONTRACTUAL</v>
      </c>
      <c r="V777" s="211" t="str">
        <f t="shared" si="181"/>
        <v>CO-DC</v>
      </c>
      <c r="W777" s="211" t="str">
        <f t="shared" si="182"/>
        <v>Distrito Capital de Bogotá</v>
      </c>
      <c r="X777" s="209" t="s">
        <v>512</v>
      </c>
      <c r="Y777" s="202">
        <v>2427400</v>
      </c>
      <c r="Z777" s="212" t="s">
        <v>154</v>
      </c>
    </row>
    <row r="778" spans="1:26" s="7" customFormat="1" ht="12.75" customHeight="1" x14ac:dyDescent="0.2">
      <c r="A778" s="208" t="s">
        <v>152</v>
      </c>
      <c r="B778" s="202">
        <v>124</v>
      </c>
      <c r="C778" s="203" t="s">
        <v>752</v>
      </c>
      <c r="D778" s="209" t="s">
        <v>155</v>
      </c>
      <c r="E778" s="210"/>
      <c r="F778" s="210">
        <v>10497683192</v>
      </c>
      <c r="G778" s="210"/>
      <c r="H778" s="209">
        <v>43191510</v>
      </c>
      <c r="I778" s="203" t="s">
        <v>776</v>
      </c>
      <c r="J778" s="202">
        <v>2</v>
      </c>
      <c r="K778" s="202">
        <v>3</v>
      </c>
      <c r="L778" s="202">
        <v>9</v>
      </c>
      <c r="M778" s="185">
        <f t="shared" ref="M778:M794" si="189">IF(ISBLANK(J778),"",1)</f>
        <v>1</v>
      </c>
      <c r="N778" s="193" t="s">
        <v>36</v>
      </c>
      <c r="O778" s="194" t="s">
        <v>256</v>
      </c>
      <c r="P778" s="211">
        <f t="shared" si="183"/>
        <v>1</v>
      </c>
      <c r="Q778" s="196">
        <f t="shared" si="187"/>
        <v>10497683192</v>
      </c>
      <c r="R778" s="196">
        <f t="shared" si="188"/>
        <v>10497683192</v>
      </c>
      <c r="S778" s="201" t="s">
        <v>217</v>
      </c>
      <c r="T778" s="211">
        <f t="shared" si="186"/>
        <v>0</v>
      </c>
      <c r="U778" s="198" t="str">
        <f t="shared" si="185"/>
        <v>SUBDIRECCION DE GESTION CONTRACTUAL</v>
      </c>
      <c r="V778" s="211" t="str">
        <f t="shared" si="181"/>
        <v>CO-DC</v>
      </c>
      <c r="W778" s="211" t="str">
        <f t="shared" si="182"/>
        <v>Distrito Capital de Bogotá</v>
      </c>
      <c r="X778" s="209" t="s">
        <v>512</v>
      </c>
      <c r="Y778" s="202">
        <v>2427400</v>
      </c>
      <c r="Z778" s="212" t="s">
        <v>154</v>
      </c>
    </row>
    <row r="779" spans="1:26" s="7" customFormat="1" ht="12.75" customHeight="1" x14ac:dyDescent="0.2">
      <c r="A779" s="208" t="s">
        <v>152</v>
      </c>
      <c r="B779" s="202">
        <v>125</v>
      </c>
      <c r="C779" s="203" t="s">
        <v>752</v>
      </c>
      <c r="D779" s="209" t="s">
        <v>155</v>
      </c>
      <c r="E779" s="210"/>
      <c r="F779" s="210">
        <v>9075173050</v>
      </c>
      <c r="G779" s="210"/>
      <c r="H779" s="209" t="s">
        <v>805</v>
      </c>
      <c r="I779" s="203" t="s">
        <v>796</v>
      </c>
      <c r="J779" s="202">
        <v>3</v>
      </c>
      <c r="K779" s="202">
        <v>3</v>
      </c>
      <c r="L779" s="202">
        <v>9</v>
      </c>
      <c r="M779" s="185">
        <f t="shared" si="189"/>
        <v>1</v>
      </c>
      <c r="N779" s="193" t="s">
        <v>36</v>
      </c>
      <c r="O779" s="194" t="s">
        <v>256</v>
      </c>
      <c r="P779" s="211">
        <f t="shared" si="183"/>
        <v>1</v>
      </c>
      <c r="Q779" s="196">
        <f t="shared" si="187"/>
        <v>9075173050</v>
      </c>
      <c r="R779" s="196">
        <f t="shared" si="188"/>
        <v>9075173050</v>
      </c>
      <c r="S779" s="201" t="s">
        <v>217</v>
      </c>
      <c r="T779" s="211">
        <f t="shared" si="186"/>
        <v>0</v>
      </c>
      <c r="U779" s="198" t="str">
        <f t="shared" si="185"/>
        <v>SUBDIRECCION DE GESTION CONTRACTUAL</v>
      </c>
      <c r="V779" s="211" t="str">
        <f t="shared" si="181"/>
        <v>CO-DC</v>
      </c>
      <c r="W779" s="211" t="str">
        <f t="shared" si="182"/>
        <v>Distrito Capital de Bogotá</v>
      </c>
      <c r="X779" s="209" t="s">
        <v>512</v>
      </c>
      <c r="Y779" s="202">
        <v>2427400</v>
      </c>
      <c r="Z779" s="212" t="s">
        <v>154</v>
      </c>
    </row>
    <row r="780" spans="1:26" s="7" customFormat="1" ht="12.75" customHeight="1" x14ac:dyDescent="0.2">
      <c r="A780" s="208" t="s">
        <v>152</v>
      </c>
      <c r="B780" s="202">
        <v>126</v>
      </c>
      <c r="C780" s="203" t="s">
        <v>538</v>
      </c>
      <c r="D780" s="209" t="s">
        <v>153</v>
      </c>
      <c r="E780" s="210"/>
      <c r="F780" s="210">
        <v>2312517040.5</v>
      </c>
      <c r="G780" s="210">
        <v>2312517040.5</v>
      </c>
      <c r="H780" s="209" t="s">
        <v>841</v>
      </c>
      <c r="I780" s="203" t="s">
        <v>842</v>
      </c>
      <c r="J780" s="202">
        <v>4</v>
      </c>
      <c r="K780" s="202">
        <v>4</v>
      </c>
      <c r="L780" s="202">
        <v>17</v>
      </c>
      <c r="M780" s="185">
        <f t="shared" si="189"/>
        <v>1</v>
      </c>
      <c r="N780" s="193" t="s">
        <v>36</v>
      </c>
      <c r="O780" s="194" t="s">
        <v>256</v>
      </c>
      <c r="P780" s="211">
        <f t="shared" si="183"/>
        <v>1</v>
      </c>
      <c r="Q780" s="196">
        <f t="shared" si="187"/>
        <v>4625034081</v>
      </c>
      <c r="R780" s="196">
        <f t="shared" si="188"/>
        <v>2312517040.5</v>
      </c>
      <c r="S780" s="201">
        <v>1</v>
      </c>
      <c r="T780" s="211">
        <f t="shared" si="186"/>
        <v>3</v>
      </c>
      <c r="U780" s="198" t="str">
        <f t="shared" si="185"/>
        <v>SUBDIRECCION DE GESTION CONTRACTUAL</v>
      </c>
      <c r="V780" s="211" t="str">
        <f t="shared" si="181"/>
        <v>CO-DC</v>
      </c>
      <c r="W780" s="211" t="str">
        <f t="shared" si="182"/>
        <v>Distrito Capital de Bogotá</v>
      </c>
      <c r="X780" s="209" t="s">
        <v>512</v>
      </c>
      <c r="Y780" s="202">
        <v>2427400</v>
      </c>
      <c r="Z780" s="212" t="s">
        <v>154</v>
      </c>
    </row>
    <row r="781" spans="1:26" s="7" customFormat="1" ht="12.75" customHeight="1" x14ac:dyDescent="0.2">
      <c r="A781" s="208" t="s">
        <v>152</v>
      </c>
      <c r="B781" s="202">
        <v>127</v>
      </c>
      <c r="C781" s="203" t="s">
        <v>538</v>
      </c>
      <c r="D781" s="209" t="s">
        <v>153</v>
      </c>
      <c r="E781" s="210"/>
      <c r="F781" s="210">
        <v>3379890706</v>
      </c>
      <c r="G781" s="210">
        <v>3379890706</v>
      </c>
      <c r="H781" s="209" t="s">
        <v>841</v>
      </c>
      <c r="I781" s="203" t="s">
        <v>843</v>
      </c>
      <c r="J781" s="202">
        <v>4</v>
      </c>
      <c r="K781" s="202">
        <v>4</v>
      </c>
      <c r="L781" s="202">
        <v>15</v>
      </c>
      <c r="M781" s="185">
        <f t="shared" si="189"/>
        <v>1</v>
      </c>
      <c r="N781" s="193" t="s">
        <v>36</v>
      </c>
      <c r="O781" s="194" t="s">
        <v>256</v>
      </c>
      <c r="P781" s="211">
        <f t="shared" si="183"/>
        <v>1</v>
      </c>
      <c r="Q781" s="196">
        <f t="shared" si="187"/>
        <v>6759781412</v>
      </c>
      <c r="R781" s="196">
        <f t="shared" si="188"/>
        <v>3379890706</v>
      </c>
      <c r="S781" s="201">
        <v>1</v>
      </c>
      <c r="T781" s="211">
        <f t="shared" si="186"/>
        <v>3</v>
      </c>
      <c r="U781" s="198" t="str">
        <f t="shared" si="185"/>
        <v>SUBDIRECCION DE GESTION CONTRACTUAL</v>
      </c>
      <c r="V781" s="211" t="str">
        <f t="shared" si="181"/>
        <v>CO-DC</v>
      </c>
      <c r="W781" s="211" t="str">
        <f t="shared" si="182"/>
        <v>Distrito Capital de Bogotá</v>
      </c>
      <c r="X781" s="209" t="s">
        <v>512</v>
      </c>
      <c r="Y781" s="202">
        <v>2427400</v>
      </c>
      <c r="Z781" s="212" t="s">
        <v>154</v>
      </c>
    </row>
    <row r="782" spans="1:26" s="7" customFormat="1" ht="12.75" customHeight="1" x14ac:dyDescent="0.2">
      <c r="A782" s="208" t="s">
        <v>152</v>
      </c>
      <c r="B782" s="202">
        <v>128</v>
      </c>
      <c r="C782" s="203" t="s">
        <v>538</v>
      </c>
      <c r="D782" s="209" t="s">
        <v>153</v>
      </c>
      <c r="E782" s="210"/>
      <c r="F782" s="210">
        <f>4532938168.5-4532938168.5</f>
        <v>0</v>
      </c>
      <c r="G782" s="210">
        <f>4532938168.5-4532938168.5</f>
        <v>0</v>
      </c>
      <c r="H782" s="209" t="s">
        <v>841</v>
      </c>
      <c r="I782" s="203" t="s">
        <v>844</v>
      </c>
      <c r="J782" s="202">
        <v>4</v>
      </c>
      <c r="K782" s="202">
        <v>4</v>
      </c>
      <c r="L782" s="202">
        <v>18</v>
      </c>
      <c r="M782" s="185">
        <f t="shared" si="189"/>
        <v>1</v>
      </c>
      <c r="N782" s="193" t="s">
        <v>36</v>
      </c>
      <c r="O782" s="194" t="s">
        <v>256</v>
      </c>
      <c r="P782" s="211">
        <f t="shared" si="183"/>
        <v>1</v>
      </c>
      <c r="Q782" s="196">
        <f t="shared" si="187"/>
        <v>0</v>
      </c>
      <c r="R782" s="196">
        <f t="shared" si="188"/>
        <v>0</v>
      </c>
      <c r="S782" s="201">
        <v>1</v>
      </c>
      <c r="T782" s="211">
        <f t="shared" si="186"/>
        <v>3</v>
      </c>
      <c r="U782" s="198" t="str">
        <f t="shared" si="185"/>
        <v>SUBDIRECCION DE GESTION CONTRACTUAL</v>
      </c>
      <c r="V782" s="211" t="str">
        <f t="shared" ref="V782:V794" si="190">IF(ISBLANK(N782),"","CO-DC")</f>
        <v>CO-DC</v>
      </c>
      <c r="W782" s="211" t="str">
        <f t="shared" ref="W782:W794" si="191">IF(ISBLANK(N782),"","Distrito Capital de Bogotá")</f>
        <v>Distrito Capital de Bogotá</v>
      </c>
      <c r="X782" s="209" t="s">
        <v>512</v>
      </c>
      <c r="Y782" s="202">
        <v>2427400</v>
      </c>
      <c r="Z782" s="212" t="s">
        <v>154</v>
      </c>
    </row>
    <row r="783" spans="1:26" s="7" customFormat="1" ht="12.75" customHeight="1" x14ac:dyDescent="0.2">
      <c r="A783" s="208" t="s">
        <v>152</v>
      </c>
      <c r="B783" s="202">
        <v>129</v>
      </c>
      <c r="C783" s="203" t="s">
        <v>538</v>
      </c>
      <c r="D783" s="209" t="s">
        <v>153</v>
      </c>
      <c r="E783" s="210"/>
      <c r="F783" s="210">
        <v>4401844983.5</v>
      </c>
      <c r="G783" s="210">
        <v>4401844983.5</v>
      </c>
      <c r="H783" s="209" t="s">
        <v>841</v>
      </c>
      <c r="I783" s="203" t="s">
        <v>845</v>
      </c>
      <c r="J783" s="202">
        <v>4</v>
      </c>
      <c r="K783" s="202">
        <v>4</v>
      </c>
      <c r="L783" s="202">
        <v>17</v>
      </c>
      <c r="M783" s="185">
        <f t="shared" si="189"/>
        <v>1</v>
      </c>
      <c r="N783" s="193" t="s">
        <v>36</v>
      </c>
      <c r="O783" s="194" t="s">
        <v>256</v>
      </c>
      <c r="P783" s="211">
        <f t="shared" ref="P783:P794" si="192">IF(ISBLANK(N783),"",1)</f>
        <v>1</v>
      </c>
      <c r="Q783" s="196">
        <f t="shared" si="187"/>
        <v>8803689967</v>
      </c>
      <c r="R783" s="196">
        <f t="shared" si="188"/>
        <v>4401844983.5</v>
      </c>
      <c r="S783" s="201">
        <v>1</v>
      </c>
      <c r="T783" s="211">
        <f t="shared" si="186"/>
        <v>3</v>
      </c>
      <c r="U783" s="198" t="str">
        <f t="shared" si="185"/>
        <v>SUBDIRECCION DE GESTION CONTRACTUAL</v>
      </c>
      <c r="V783" s="211" t="str">
        <f t="shared" si="190"/>
        <v>CO-DC</v>
      </c>
      <c r="W783" s="211" t="str">
        <f t="shared" si="191"/>
        <v>Distrito Capital de Bogotá</v>
      </c>
      <c r="X783" s="209" t="s">
        <v>512</v>
      </c>
      <c r="Y783" s="202">
        <v>2427400</v>
      </c>
      <c r="Z783" s="212" t="s">
        <v>154</v>
      </c>
    </row>
    <row r="784" spans="1:26" s="7" customFormat="1" ht="12.75" customHeight="1" x14ac:dyDescent="0.2">
      <c r="A784" s="208" t="s">
        <v>152</v>
      </c>
      <c r="B784" s="202">
        <v>130</v>
      </c>
      <c r="C784" s="203" t="s">
        <v>538</v>
      </c>
      <c r="D784" s="209" t="s">
        <v>153</v>
      </c>
      <c r="E784" s="210"/>
      <c r="F784" s="210">
        <v>2644929944.835</v>
      </c>
      <c r="G784" s="210">
        <v>2644929944.835</v>
      </c>
      <c r="H784" s="209" t="s">
        <v>841</v>
      </c>
      <c r="I784" s="203" t="s">
        <v>846</v>
      </c>
      <c r="J784" s="202">
        <v>4</v>
      </c>
      <c r="K784" s="202">
        <v>4</v>
      </c>
      <c r="L784" s="202">
        <v>13</v>
      </c>
      <c r="M784" s="185">
        <f t="shared" si="189"/>
        <v>1</v>
      </c>
      <c r="N784" s="193" t="s">
        <v>36</v>
      </c>
      <c r="O784" s="194" t="s">
        <v>256</v>
      </c>
      <c r="P784" s="211">
        <f t="shared" si="192"/>
        <v>1</v>
      </c>
      <c r="Q784" s="196">
        <f t="shared" si="187"/>
        <v>5289859889.6700001</v>
      </c>
      <c r="R784" s="196">
        <f t="shared" si="188"/>
        <v>2644929944.835</v>
      </c>
      <c r="S784" s="201">
        <v>1</v>
      </c>
      <c r="T784" s="211">
        <f t="shared" si="186"/>
        <v>3</v>
      </c>
      <c r="U784" s="198" t="str">
        <f t="shared" si="185"/>
        <v>SUBDIRECCION DE GESTION CONTRACTUAL</v>
      </c>
      <c r="V784" s="211" t="str">
        <f t="shared" si="190"/>
        <v>CO-DC</v>
      </c>
      <c r="W784" s="211" t="str">
        <f t="shared" si="191"/>
        <v>Distrito Capital de Bogotá</v>
      </c>
      <c r="X784" s="209" t="s">
        <v>512</v>
      </c>
      <c r="Y784" s="202">
        <v>2427400</v>
      </c>
      <c r="Z784" s="212" t="s">
        <v>154</v>
      </c>
    </row>
    <row r="785" spans="1:26" s="7" customFormat="1" ht="12.75" customHeight="1" x14ac:dyDescent="0.2">
      <c r="A785" s="208" t="s">
        <v>152</v>
      </c>
      <c r="B785" s="202">
        <v>131</v>
      </c>
      <c r="C785" s="203" t="s">
        <v>538</v>
      </c>
      <c r="D785" s="209" t="s">
        <v>153</v>
      </c>
      <c r="E785" s="210"/>
      <c r="F785" s="210">
        <v>3145745081</v>
      </c>
      <c r="G785" s="210">
        <v>12582980325</v>
      </c>
      <c r="H785" s="209" t="s">
        <v>707</v>
      </c>
      <c r="I785" s="203" t="s">
        <v>873</v>
      </c>
      <c r="J785" s="202">
        <v>5</v>
      </c>
      <c r="K785" s="202">
        <v>5</v>
      </c>
      <c r="L785" s="202">
        <v>16</v>
      </c>
      <c r="M785" s="185">
        <f t="shared" si="189"/>
        <v>1</v>
      </c>
      <c r="N785" s="193" t="s">
        <v>36</v>
      </c>
      <c r="O785" s="194" t="s">
        <v>256</v>
      </c>
      <c r="P785" s="211">
        <f t="shared" si="192"/>
        <v>1</v>
      </c>
      <c r="Q785" s="196">
        <f t="shared" si="187"/>
        <v>15728725406</v>
      </c>
      <c r="R785" s="196">
        <f t="shared" si="188"/>
        <v>3145745081</v>
      </c>
      <c r="S785" s="201" t="s">
        <v>217</v>
      </c>
      <c r="T785" s="211">
        <f t="shared" si="186"/>
        <v>0</v>
      </c>
      <c r="U785" s="198" t="str">
        <f t="shared" si="185"/>
        <v>SUBDIRECCION DE GESTION CONTRACTUAL</v>
      </c>
      <c r="V785" s="211" t="str">
        <f t="shared" si="190"/>
        <v>CO-DC</v>
      </c>
      <c r="W785" s="211" t="str">
        <f t="shared" si="191"/>
        <v>Distrito Capital de Bogotá</v>
      </c>
      <c r="X785" s="209" t="s">
        <v>512</v>
      </c>
      <c r="Y785" s="202">
        <v>2427400</v>
      </c>
      <c r="Z785" s="212" t="s">
        <v>154</v>
      </c>
    </row>
    <row r="786" spans="1:26" s="7" customFormat="1" ht="12.75" customHeight="1" x14ac:dyDescent="0.2">
      <c r="A786" s="208" t="s">
        <v>152</v>
      </c>
      <c r="B786" s="202">
        <v>132</v>
      </c>
      <c r="C786" s="203" t="s">
        <v>538</v>
      </c>
      <c r="D786" s="209" t="s">
        <v>153</v>
      </c>
      <c r="E786" s="210"/>
      <c r="F786" s="210">
        <v>26180000</v>
      </c>
      <c r="G786" s="210">
        <v>0</v>
      </c>
      <c r="H786" s="209" t="s">
        <v>920</v>
      </c>
      <c r="I786" s="203" t="s">
        <v>901</v>
      </c>
      <c r="J786" s="202">
        <v>5</v>
      </c>
      <c r="K786" s="202">
        <v>5</v>
      </c>
      <c r="L786" s="202">
        <v>1</v>
      </c>
      <c r="M786" s="185">
        <f t="shared" si="189"/>
        <v>1</v>
      </c>
      <c r="N786" s="193" t="s">
        <v>48</v>
      </c>
      <c r="O786" s="194" t="s">
        <v>49</v>
      </c>
      <c r="P786" s="211">
        <f t="shared" si="192"/>
        <v>1</v>
      </c>
      <c r="Q786" s="196">
        <f t="shared" si="187"/>
        <v>26180000</v>
      </c>
      <c r="R786" s="196">
        <f t="shared" si="188"/>
        <v>26180000</v>
      </c>
      <c r="S786" s="201" t="s">
        <v>217</v>
      </c>
      <c r="T786" s="211">
        <f t="shared" si="186"/>
        <v>0</v>
      </c>
      <c r="U786" s="198" t="str">
        <f t="shared" si="185"/>
        <v>SUBDIRECCION DE GESTION CONTRACTUAL</v>
      </c>
      <c r="V786" s="211" t="str">
        <f t="shared" si="190"/>
        <v>CO-DC</v>
      </c>
      <c r="W786" s="211" t="str">
        <f t="shared" si="191"/>
        <v>Distrito Capital de Bogotá</v>
      </c>
      <c r="X786" s="209" t="s">
        <v>512</v>
      </c>
      <c r="Y786" s="202">
        <v>2427400</v>
      </c>
      <c r="Z786" s="212" t="s">
        <v>154</v>
      </c>
    </row>
    <row r="787" spans="1:26" s="7" customFormat="1" ht="12.75" customHeight="1" x14ac:dyDescent="0.2">
      <c r="A787" s="208" t="s">
        <v>152</v>
      </c>
      <c r="B787" s="202">
        <v>133</v>
      </c>
      <c r="C787" s="203" t="s">
        <v>538</v>
      </c>
      <c r="D787" s="209" t="s">
        <v>153</v>
      </c>
      <c r="E787" s="210"/>
      <c r="F787" s="210">
        <f>14113054302.9-14113054302.9</f>
        <v>0</v>
      </c>
      <c r="G787" s="210"/>
      <c r="H787" s="209">
        <v>45121500</v>
      </c>
      <c r="I787" s="203" t="s">
        <v>939</v>
      </c>
      <c r="J787" s="202">
        <v>6</v>
      </c>
      <c r="K787" s="202">
        <v>6</v>
      </c>
      <c r="L787" s="202">
        <v>13</v>
      </c>
      <c r="M787" s="185">
        <f t="shared" si="189"/>
        <v>1</v>
      </c>
      <c r="N787" s="193" t="s">
        <v>210</v>
      </c>
      <c r="O787" s="194" t="s">
        <v>264</v>
      </c>
      <c r="P787" s="211">
        <f t="shared" si="192"/>
        <v>1</v>
      </c>
      <c r="Q787" s="196">
        <f t="shared" si="187"/>
        <v>0</v>
      </c>
      <c r="R787" s="196">
        <f t="shared" si="188"/>
        <v>0</v>
      </c>
      <c r="S787" s="201">
        <v>1</v>
      </c>
      <c r="T787" s="211">
        <f t="shared" si="186"/>
        <v>3</v>
      </c>
      <c r="U787" s="198" t="str">
        <f t="shared" si="185"/>
        <v>SUBDIRECCION DE GESTION CONTRACTUAL</v>
      </c>
      <c r="V787" s="211" t="str">
        <f t="shared" si="190"/>
        <v>CO-DC</v>
      </c>
      <c r="W787" s="211" t="str">
        <f t="shared" si="191"/>
        <v>Distrito Capital de Bogotá</v>
      </c>
      <c r="X787" s="209" t="s">
        <v>512</v>
      </c>
      <c r="Y787" s="202">
        <v>2427400</v>
      </c>
      <c r="Z787" s="127" t="s">
        <v>154</v>
      </c>
    </row>
    <row r="788" spans="1:26" s="7" customFormat="1" ht="12.75" customHeight="1" x14ac:dyDescent="0.2">
      <c r="A788" s="208" t="s">
        <v>152</v>
      </c>
      <c r="B788" s="202">
        <v>134</v>
      </c>
      <c r="C788" s="203" t="s">
        <v>538</v>
      </c>
      <c r="D788" s="209" t="s">
        <v>153</v>
      </c>
      <c r="E788" s="210"/>
      <c r="F788" s="210">
        <f>99986431268.235-99986431268.235</f>
        <v>0</v>
      </c>
      <c r="G788" s="210"/>
      <c r="H788" s="209">
        <v>45121500</v>
      </c>
      <c r="I788" s="203" t="s">
        <v>940</v>
      </c>
      <c r="J788" s="202">
        <v>6</v>
      </c>
      <c r="K788" s="202">
        <v>6</v>
      </c>
      <c r="L788" s="202">
        <v>18</v>
      </c>
      <c r="M788" s="185">
        <f t="shared" si="189"/>
        <v>1</v>
      </c>
      <c r="N788" s="193" t="s">
        <v>210</v>
      </c>
      <c r="O788" s="194" t="s">
        <v>264</v>
      </c>
      <c r="P788" s="211">
        <f t="shared" si="192"/>
        <v>1</v>
      </c>
      <c r="Q788" s="196">
        <f t="shared" si="187"/>
        <v>0</v>
      </c>
      <c r="R788" s="196">
        <f t="shared" si="188"/>
        <v>0</v>
      </c>
      <c r="S788" s="201">
        <v>1</v>
      </c>
      <c r="T788" s="211">
        <f t="shared" si="186"/>
        <v>3</v>
      </c>
      <c r="U788" s="198" t="str">
        <f t="shared" si="185"/>
        <v>SUBDIRECCION DE GESTION CONTRACTUAL</v>
      </c>
      <c r="V788" s="211" t="str">
        <f t="shared" si="190"/>
        <v>CO-DC</v>
      </c>
      <c r="W788" s="211" t="str">
        <f t="shared" si="191"/>
        <v>Distrito Capital de Bogotá</v>
      </c>
      <c r="X788" s="209" t="s">
        <v>512</v>
      </c>
      <c r="Y788" s="202">
        <v>2427400</v>
      </c>
      <c r="Z788" s="212" t="s">
        <v>154</v>
      </c>
    </row>
    <row r="789" spans="1:26" s="7" customFormat="1" ht="12.75" customHeight="1" x14ac:dyDescent="0.2">
      <c r="A789" s="208" t="s">
        <v>152</v>
      </c>
      <c r="B789" s="202">
        <v>135</v>
      </c>
      <c r="C789" s="203" t="s">
        <v>538</v>
      </c>
      <c r="D789" s="209" t="s">
        <v>153</v>
      </c>
      <c r="E789" s="210"/>
      <c r="F789" s="210">
        <f>14000000000-14000000000</f>
        <v>0</v>
      </c>
      <c r="G789" s="210"/>
      <c r="H789" s="209">
        <v>45121500</v>
      </c>
      <c r="I789" s="203" t="s">
        <v>941</v>
      </c>
      <c r="J789" s="202">
        <v>6</v>
      </c>
      <c r="K789" s="202">
        <v>6</v>
      </c>
      <c r="L789" s="202">
        <v>13</v>
      </c>
      <c r="M789" s="185">
        <f t="shared" si="189"/>
        <v>1</v>
      </c>
      <c r="N789" s="193" t="s">
        <v>210</v>
      </c>
      <c r="O789" s="194" t="s">
        <v>264</v>
      </c>
      <c r="P789" s="211">
        <f t="shared" si="192"/>
        <v>1</v>
      </c>
      <c r="Q789" s="196">
        <f t="shared" si="187"/>
        <v>0</v>
      </c>
      <c r="R789" s="196">
        <f t="shared" si="188"/>
        <v>0</v>
      </c>
      <c r="S789" s="201">
        <v>1</v>
      </c>
      <c r="T789" s="211">
        <f t="shared" si="186"/>
        <v>3</v>
      </c>
      <c r="U789" s="198" t="str">
        <f t="shared" si="185"/>
        <v>SUBDIRECCION DE GESTION CONTRACTUAL</v>
      </c>
      <c r="V789" s="211" t="str">
        <f t="shared" si="190"/>
        <v>CO-DC</v>
      </c>
      <c r="W789" s="211" t="str">
        <f t="shared" si="191"/>
        <v>Distrito Capital de Bogotá</v>
      </c>
      <c r="X789" s="209" t="s">
        <v>512</v>
      </c>
      <c r="Y789" s="202">
        <v>2427400</v>
      </c>
      <c r="Z789" s="212" t="s">
        <v>154</v>
      </c>
    </row>
    <row r="790" spans="1:26" s="7" customFormat="1" ht="12.75" customHeight="1" x14ac:dyDescent="0.2">
      <c r="A790" s="208" t="s">
        <v>152</v>
      </c>
      <c r="B790" s="202">
        <v>136</v>
      </c>
      <c r="C790" s="203" t="s">
        <v>538</v>
      </c>
      <c r="D790" s="209" t="s">
        <v>153</v>
      </c>
      <c r="E790" s="210"/>
      <c r="F790" s="210">
        <f>36000000000-36000000000</f>
        <v>0</v>
      </c>
      <c r="G790" s="210"/>
      <c r="H790" s="209">
        <v>43232402</v>
      </c>
      <c r="I790" s="203" t="s">
        <v>954</v>
      </c>
      <c r="J790" s="202">
        <v>6</v>
      </c>
      <c r="K790" s="202">
        <v>6</v>
      </c>
      <c r="L790" s="202">
        <v>18</v>
      </c>
      <c r="M790" s="185">
        <f t="shared" si="189"/>
        <v>1</v>
      </c>
      <c r="N790" s="193" t="s">
        <v>210</v>
      </c>
      <c r="O790" s="194" t="s">
        <v>264</v>
      </c>
      <c r="P790" s="211">
        <f t="shared" si="192"/>
        <v>1</v>
      </c>
      <c r="Q790" s="196">
        <f t="shared" si="187"/>
        <v>0</v>
      </c>
      <c r="R790" s="196">
        <f t="shared" si="188"/>
        <v>0</v>
      </c>
      <c r="S790" s="201">
        <v>1</v>
      </c>
      <c r="T790" s="211">
        <f t="shared" si="186"/>
        <v>3</v>
      </c>
      <c r="U790" s="198" t="str">
        <f t="shared" si="185"/>
        <v>SUBDIRECCION DE GESTION CONTRACTUAL</v>
      </c>
      <c r="V790" s="211" t="str">
        <f t="shared" si="190"/>
        <v>CO-DC</v>
      </c>
      <c r="W790" s="211" t="str">
        <f t="shared" si="191"/>
        <v>Distrito Capital de Bogotá</v>
      </c>
      <c r="X790" s="209" t="s">
        <v>512</v>
      </c>
      <c r="Y790" s="202">
        <v>2427400</v>
      </c>
      <c r="Z790" s="212" t="s">
        <v>154</v>
      </c>
    </row>
    <row r="791" spans="1:26" s="7" customFormat="1" ht="57" x14ac:dyDescent="0.2">
      <c r="A791" s="208" t="s">
        <v>152</v>
      </c>
      <c r="B791" s="202">
        <v>137</v>
      </c>
      <c r="C791" s="203" t="s">
        <v>538</v>
      </c>
      <c r="D791" s="209" t="s">
        <v>153</v>
      </c>
      <c r="E791" s="210"/>
      <c r="F791" s="210">
        <f>3000000000-3000000000</f>
        <v>0</v>
      </c>
      <c r="G791" s="210"/>
      <c r="H791" s="209" t="s">
        <v>841</v>
      </c>
      <c r="I791" s="203" t="s">
        <v>945</v>
      </c>
      <c r="J791" s="202">
        <v>6</v>
      </c>
      <c r="K791" s="202">
        <v>6</v>
      </c>
      <c r="L791" s="202">
        <v>14</v>
      </c>
      <c r="M791" s="185">
        <f t="shared" si="189"/>
        <v>1</v>
      </c>
      <c r="N791" s="193" t="s">
        <v>210</v>
      </c>
      <c r="O791" s="194" t="s">
        <v>264</v>
      </c>
      <c r="P791" s="211">
        <f t="shared" si="192"/>
        <v>1</v>
      </c>
      <c r="Q791" s="196">
        <f t="shared" si="187"/>
        <v>0</v>
      </c>
      <c r="R791" s="196">
        <f t="shared" si="188"/>
        <v>0</v>
      </c>
      <c r="S791" s="201">
        <v>1</v>
      </c>
      <c r="T791" s="211">
        <f t="shared" si="186"/>
        <v>3</v>
      </c>
      <c r="U791" s="198" t="str">
        <f t="shared" si="185"/>
        <v>SUBDIRECCION DE GESTION CONTRACTUAL</v>
      </c>
      <c r="V791" s="211" t="str">
        <f t="shared" si="190"/>
        <v>CO-DC</v>
      </c>
      <c r="W791" s="211" t="str">
        <f t="shared" si="191"/>
        <v>Distrito Capital de Bogotá</v>
      </c>
      <c r="X791" s="209" t="s">
        <v>512</v>
      </c>
      <c r="Y791" s="202">
        <v>2427400</v>
      </c>
      <c r="Z791" s="212" t="s">
        <v>154</v>
      </c>
    </row>
    <row r="792" spans="1:26" s="7" customFormat="1" ht="57" x14ac:dyDescent="0.2">
      <c r="A792" s="208" t="s">
        <v>152</v>
      </c>
      <c r="B792" s="202">
        <v>138</v>
      </c>
      <c r="C792" s="203" t="s">
        <v>538</v>
      </c>
      <c r="D792" s="209" t="s">
        <v>153</v>
      </c>
      <c r="E792" s="210"/>
      <c r="F792" s="210">
        <f>18855243619-18855243619</f>
        <v>0</v>
      </c>
      <c r="G792" s="210"/>
      <c r="H792" s="209" t="s">
        <v>946</v>
      </c>
      <c r="I792" s="203" t="s">
        <v>942</v>
      </c>
      <c r="J792" s="202">
        <v>6</v>
      </c>
      <c r="K792" s="202">
        <v>6</v>
      </c>
      <c r="L792" s="202">
        <v>6</v>
      </c>
      <c r="M792" s="185">
        <f t="shared" si="189"/>
        <v>1</v>
      </c>
      <c r="N792" s="193" t="s">
        <v>210</v>
      </c>
      <c r="O792" s="194" t="s">
        <v>264</v>
      </c>
      <c r="P792" s="211">
        <f t="shared" si="192"/>
        <v>1</v>
      </c>
      <c r="Q792" s="196">
        <f t="shared" si="187"/>
        <v>0</v>
      </c>
      <c r="R792" s="196">
        <f t="shared" si="188"/>
        <v>0</v>
      </c>
      <c r="S792" s="201" t="s">
        <v>217</v>
      </c>
      <c r="T792" s="211">
        <f t="shared" si="186"/>
        <v>0</v>
      </c>
      <c r="U792" s="198" t="str">
        <f t="shared" si="185"/>
        <v>SUBDIRECCION DE GESTION CONTRACTUAL</v>
      </c>
      <c r="V792" s="211" t="str">
        <f t="shared" si="190"/>
        <v>CO-DC</v>
      </c>
      <c r="W792" s="211" t="str">
        <f t="shared" si="191"/>
        <v>Distrito Capital de Bogotá</v>
      </c>
      <c r="X792" s="209" t="s">
        <v>512</v>
      </c>
      <c r="Y792" s="202">
        <v>2427400</v>
      </c>
      <c r="Z792" s="212" t="s">
        <v>154</v>
      </c>
    </row>
    <row r="793" spans="1:26" s="7" customFormat="1" ht="57" x14ac:dyDescent="0.2">
      <c r="A793" s="208" t="s">
        <v>152</v>
      </c>
      <c r="B793" s="202">
        <v>139</v>
      </c>
      <c r="C793" s="203" t="s">
        <v>538</v>
      </c>
      <c r="D793" s="209" t="s">
        <v>153</v>
      </c>
      <c r="E793" s="210"/>
      <c r="F793" s="210">
        <f>15000000000-15000000000</f>
        <v>0</v>
      </c>
      <c r="G793" s="210"/>
      <c r="H793" s="209" t="s">
        <v>946</v>
      </c>
      <c r="I793" s="203" t="s">
        <v>943</v>
      </c>
      <c r="J793" s="202">
        <v>6</v>
      </c>
      <c r="K793" s="202">
        <v>6</v>
      </c>
      <c r="L793" s="202">
        <v>6</v>
      </c>
      <c r="M793" s="185">
        <f t="shared" si="189"/>
        <v>1</v>
      </c>
      <c r="N793" s="193" t="s">
        <v>210</v>
      </c>
      <c r="O793" s="194" t="s">
        <v>264</v>
      </c>
      <c r="P793" s="211">
        <f t="shared" si="192"/>
        <v>1</v>
      </c>
      <c r="Q793" s="196">
        <f t="shared" si="187"/>
        <v>0</v>
      </c>
      <c r="R793" s="196">
        <f t="shared" si="188"/>
        <v>0</v>
      </c>
      <c r="S793" s="201" t="s">
        <v>217</v>
      </c>
      <c r="T793" s="211">
        <f t="shared" si="186"/>
        <v>0</v>
      </c>
      <c r="U793" s="198" t="str">
        <f t="shared" si="185"/>
        <v>SUBDIRECCION DE GESTION CONTRACTUAL</v>
      </c>
      <c r="V793" s="211" t="str">
        <f t="shared" si="190"/>
        <v>CO-DC</v>
      </c>
      <c r="W793" s="211" t="str">
        <f t="shared" si="191"/>
        <v>Distrito Capital de Bogotá</v>
      </c>
      <c r="X793" s="209" t="s">
        <v>512</v>
      </c>
      <c r="Y793" s="202">
        <v>2427400</v>
      </c>
      <c r="Z793" s="212" t="s">
        <v>154</v>
      </c>
    </row>
    <row r="794" spans="1:26" s="7" customFormat="1" ht="85.5" x14ac:dyDescent="0.2">
      <c r="A794" s="208" t="s">
        <v>152</v>
      </c>
      <c r="B794" s="202">
        <v>140</v>
      </c>
      <c r="C794" s="203" t="s">
        <v>538</v>
      </c>
      <c r="D794" s="209" t="s">
        <v>153</v>
      </c>
      <c r="E794" s="210"/>
      <c r="F794" s="210">
        <v>7500000000</v>
      </c>
      <c r="G794" s="210"/>
      <c r="H794" s="209" t="s">
        <v>948</v>
      </c>
      <c r="I794" s="203" t="s">
        <v>944</v>
      </c>
      <c r="J794" s="202">
        <v>11</v>
      </c>
      <c r="K794" s="202">
        <v>11</v>
      </c>
      <c r="L794" s="202">
        <v>1</v>
      </c>
      <c r="M794" s="185">
        <f t="shared" si="189"/>
        <v>1</v>
      </c>
      <c r="N794" s="193" t="s">
        <v>210</v>
      </c>
      <c r="O794" s="194" t="s">
        <v>264</v>
      </c>
      <c r="P794" s="211">
        <f t="shared" si="192"/>
        <v>1</v>
      </c>
      <c r="Q794" s="196">
        <f t="shared" si="187"/>
        <v>7500000000</v>
      </c>
      <c r="R794" s="196">
        <f t="shared" si="188"/>
        <v>7500000000</v>
      </c>
      <c r="S794" s="201" t="s">
        <v>217</v>
      </c>
      <c r="T794" s="211">
        <f t="shared" si="186"/>
        <v>0</v>
      </c>
      <c r="U794" s="198" t="str">
        <f t="shared" si="185"/>
        <v>SUBDIRECCION DE GESTION CONTRACTUAL</v>
      </c>
      <c r="V794" s="211" t="str">
        <f t="shared" si="190"/>
        <v>CO-DC</v>
      </c>
      <c r="W794" s="211" t="str">
        <f t="shared" si="191"/>
        <v>Distrito Capital de Bogotá</v>
      </c>
      <c r="X794" s="209" t="s">
        <v>512</v>
      </c>
      <c r="Y794" s="202">
        <v>2427400</v>
      </c>
      <c r="Z794" s="212" t="s">
        <v>154</v>
      </c>
    </row>
    <row r="795" spans="1:26" s="7" customFormat="1" ht="57" x14ac:dyDescent="0.2">
      <c r="A795" s="208" t="s">
        <v>152</v>
      </c>
      <c r="B795" s="202">
        <v>141</v>
      </c>
      <c r="C795" s="203" t="s">
        <v>752</v>
      </c>
      <c r="D795" s="209" t="s">
        <v>155</v>
      </c>
      <c r="E795" s="210"/>
      <c r="F795" s="210">
        <v>9341170735.3299999</v>
      </c>
      <c r="G795" s="210"/>
      <c r="H795" s="209" t="s">
        <v>952</v>
      </c>
      <c r="I795" s="203" t="s">
        <v>951</v>
      </c>
      <c r="J795" s="202">
        <v>6</v>
      </c>
      <c r="K795" s="202">
        <v>6</v>
      </c>
      <c r="L795" s="202">
        <v>6</v>
      </c>
      <c r="M795" s="185">
        <v>6</v>
      </c>
      <c r="N795" s="193" t="s">
        <v>36</v>
      </c>
      <c r="O795" s="194" t="s">
        <v>256</v>
      </c>
      <c r="P795" s="211">
        <v>1</v>
      </c>
      <c r="Q795" s="196">
        <f t="shared" si="187"/>
        <v>9341170735.3299999</v>
      </c>
      <c r="R795" s="196">
        <f t="shared" si="188"/>
        <v>9341170735.3299999</v>
      </c>
      <c r="S795" s="201" t="s">
        <v>217</v>
      </c>
      <c r="T795" s="211">
        <v>0</v>
      </c>
      <c r="U795" s="198" t="s">
        <v>37</v>
      </c>
      <c r="V795" s="211" t="s">
        <v>39</v>
      </c>
      <c r="W795" s="211" t="s">
        <v>38</v>
      </c>
      <c r="X795" s="209" t="s">
        <v>512</v>
      </c>
      <c r="Y795" s="202">
        <v>2427400</v>
      </c>
      <c r="Z795" s="212" t="s">
        <v>154</v>
      </c>
    </row>
    <row r="796" spans="1:26" s="7" customFormat="1" ht="99.75" x14ac:dyDescent="0.2">
      <c r="A796" s="208" t="s">
        <v>152</v>
      </c>
      <c r="B796" s="202">
        <v>142</v>
      </c>
      <c r="C796" s="203" t="s">
        <v>538</v>
      </c>
      <c r="D796" s="209" t="s">
        <v>153</v>
      </c>
      <c r="E796" s="210"/>
      <c r="F796" s="210">
        <f>150058805264-150058805264</f>
        <v>0</v>
      </c>
      <c r="G796" s="210">
        <f>37514701316-37514701316</f>
        <v>0</v>
      </c>
      <c r="H796" s="209" t="s">
        <v>953</v>
      </c>
      <c r="I796" s="203" t="s">
        <v>960</v>
      </c>
      <c r="J796" s="202">
        <v>6</v>
      </c>
      <c r="K796" s="202">
        <v>6</v>
      </c>
      <c r="L796" s="202">
        <v>18</v>
      </c>
      <c r="M796" s="185">
        <v>18</v>
      </c>
      <c r="N796" s="193" t="s">
        <v>36</v>
      </c>
      <c r="O796" s="194" t="s">
        <v>256</v>
      </c>
      <c r="P796" s="211">
        <v>1</v>
      </c>
      <c r="Q796" s="196">
        <f t="shared" si="187"/>
        <v>0</v>
      </c>
      <c r="R796" s="196">
        <f t="shared" si="188"/>
        <v>0</v>
      </c>
      <c r="S796" s="201">
        <v>1</v>
      </c>
      <c r="T796" s="211">
        <v>2</v>
      </c>
      <c r="U796" s="198" t="s">
        <v>37</v>
      </c>
      <c r="V796" s="211" t="s">
        <v>39</v>
      </c>
      <c r="W796" s="211" t="s">
        <v>38</v>
      </c>
      <c r="X796" s="209" t="s">
        <v>512</v>
      </c>
      <c r="Y796" s="202">
        <v>2427400</v>
      </c>
      <c r="Z796" s="212" t="s">
        <v>154</v>
      </c>
    </row>
    <row r="797" spans="1:26" s="7" customFormat="1" ht="71.25" x14ac:dyDescent="0.2">
      <c r="A797" s="208" t="s">
        <v>152</v>
      </c>
      <c r="B797" s="202">
        <v>143</v>
      </c>
      <c r="C797" s="203" t="s">
        <v>538</v>
      </c>
      <c r="D797" s="209" t="s">
        <v>153</v>
      </c>
      <c r="E797" s="210"/>
      <c r="F797" s="210">
        <f>12390000000-12390000000</f>
        <v>0</v>
      </c>
      <c r="G797" s="210">
        <f>5310000000-5310000000</f>
        <v>0</v>
      </c>
      <c r="H797" s="209">
        <v>46171600</v>
      </c>
      <c r="I797" s="203" t="s">
        <v>955</v>
      </c>
      <c r="J797" s="202">
        <v>6</v>
      </c>
      <c r="K797" s="202">
        <v>6</v>
      </c>
      <c r="L797" s="202">
        <v>7</v>
      </c>
      <c r="M797" s="185">
        <v>7</v>
      </c>
      <c r="N797" s="193" t="s">
        <v>36</v>
      </c>
      <c r="O797" s="194" t="s">
        <v>256</v>
      </c>
      <c r="P797" s="211">
        <v>1</v>
      </c>
      <c r="Q797" s="196">
        <f t="shared" si="187"/>
        <v>0</v>
      </c>
      <c r="R797" s="196">
        <f t="shared" si="188"/>
        <v>0</v>
      </c>
      <c r="S797" s="201">
        <v>1</v>
      </c>
      <c r="T797" s="211">
        <v>2</v>
      </c>
      <c r="U797" s="198" t="s">
        <v>37</v>
      </c>
      <c r="V797" s="211" t="s">
        <v>39</v>
      </c>
      <c r="W797" s="211" t="s">
        <v>38</v>
      </c>
      <c r="X797" s="209" t="s">
        <v>512</v>
      </c>
      <c r="Y797" s="202">
        <v>2427400</v>
      </c>
      <c r="Z797" s="212" t="s">
        <v>154</v>
      </c>
    </row>
    <row r="798" spans="1:26" s="7" customFormat="1" ht="71.25" x14ac:dyDescent="0.2">
      <c r="A798" s="208" t="s">
        <v>152</v>
      </c>
      <c r="B798" s="202">
        <v>144</v>
      </c>
      <c r="C798" s="203" t="s">
        <v>538</v>
      </c>
      <c r="D798" s="209" t="s">
        <v>153</v>
      </c>
      <c r="E798" s="210"/>
      <c r="F798" s="210">
        <v>2226601576.5</v>
      </c>
      <c r="G798" s="210">
        <v>954257818.5</v>
      </c>
      <c r="H798" s="209">
        <v>95122300</v>
      </c>
      <c r="I798" s="203" t="s">
        <v>956</v>
      </c>
      <c r="J798" s="202">
        <v>6</v>
      </c>
      <c r="K798" s="202">
        <v>6</v>
      </c>
      <c r="L798" s="202">
        <v>15</v>
      </c>
      <c r="M798" s="185">
        <v>15</v>
      </c>
      <c r="N798" s="193" t="s">
        <v>36</v>
      </c>
      <c r="O798" s="194" t="s">
        <v>256</v>
      </c>
      <c r="P798" s="211">
        <v>1</v>
      </c>
      <c r="Q798" s="196">
        <f t="shared" si="187"/>
        <v>3180859395</v>
      </c>
      <c r="R798" s="196">
        <f t="shared" si="188"/>
        <v>2226601576.5</v>
      </c>
      <c r="S798" s="201">
        <v>1</v>
      </c>
      <c r="T798" s="211">
        <v>2</v>
      </c>
      <c r="U798" s="198" t="s">
        <v>37</v>
      </c>
      <c r="V798" s="211" t="s">
        <v>39</v>
      </c>
      <c r="W798" s="211" t="s">
        <v>38</v>
      </c>
      <c r="X798" s="209" t="s">
        <v>512</v>
      </c>
      <c r="Y798" s="202">
        <v>2427400</v>
      </c>
      <c r="Z798" s="212" t="s">
        <v>154</v>
      </c>
    </row>
    <row r="799" spans="1:26" s="7" customFormat="1" ht="71.25" x14ac:dyDescent="0.2">
      <c r="A799" s="208" t="s">
        <v>152</v>
      </c>
      <c r="B799" s="202">
        <v>145</v>
      </c>
      <c r="C799" s="203" t="s">
        <v>538</v>
      </c>
      <c r="D799" s="209" t="s">
        <v>153</v>
      </c>
      <c r="E799" s="210"/>
      <c r="F799" s="210">
        <v>3876684687.3999996</v>
      </c>
      <c r="G799" s="210">
        <v>1661436294.6000004</v>
      </c>
      <c r="H799" s="209" t="s">
        <v>841</v>
      </c>
      <c r="I799" s="203" t="s">
        <v>957</v>
      </c>
      <c r="J799" s="202">
        <v>6</v>
      </c>
      <c r="K799" s="202">
        <v>6</v>
      </c>
      <c r="L799" s="202">
        <v>17</v>
      </c>
      <c r="M799" s="185">
        <v>17</v>
      </c>
      <c r="N799" s="193" t="s">
        <v>36</v>
      </c>
      <c r="O799" s="194" t="s">
        <v>256</v>
      </c>
      <c r="P799" s="211">
        <v>1</v>
      </c>
      <c r="Q799" s="196">
        <f t="shared" si="187"/>
        <v>5538120982</v>
      </c>
      <c r="R799" s="196">
        <f t="shared" si="188"/>
        <v>3876684687.3999996</v>
      </c>
      <c r="S799" s="201">
        <v>1</v>
      </c>
      <c r="T799" s="211">
        <v>2</v>
      </c>
      <c r="U799" s="198" t="s">
        <v>37</v>
      </c>
      <c r="V799" s="211" t="s">
        <v>39</v>
      </c>
      <c r="W799" s="211" t="s">
        <v>38</v>
      </c>
      <c r="X799" s="209" t="s">
        <v>512</v>
      </c>
      <c r="Y799" s="202">
        <v>2427400</v>
      </c>
      <c r="Z799" s="212" t="s">
        <v>154</v>
      </c>
    </row>
    <row r="800" spans="1:26" s="7" customFormat="1" ht="71.25" x14ac:dyDescent="0.2">
      <c r="A800" s="208" t="s">
        <v>152</v>
      </c>
      <c r="B800" s="202">
        <v>146</v>
      </c>
      <c r="C800" s="203" t="s">
        <v>538</v>
      </c>
      <c r="D800" s="209" t="s">
        <v>153</v>
      </c>
      <c r="E800" s="210"/>
      <c r="F800" s="210">
        <v>4602221190.6999998</v>
      </c>
      <c r="G800" s="210">
        <v>1972380510.3000002</v>
      </c>
      <c r="H800" s="209" t="s">
        <v>841</v>
      </c>
      <c r="I800" s="203" t="s">
        <v>958</v>
      </c>
      <c r="J800" s="202">
        <v>6</v>
      </c>
      <c r="K800" s="202">
        <v>6</v>
      </c>
      <c r="L800" s="202">
        <v>17</v>
      </c>
      <c r="M800" s="185">
        <v>17</v>
      </c>
      <c r="N800" s="193" t="s">
        <v>36</v>
      </c>
      <c r="O800" s="194" t="s">
        <v>256</v>
      </c>
      <c r="P800" s="211">
        <v>1</v>
      </c>
      <c r="Q800" s="196">
        <f t="shared" si="187"/>
        <v>6574601701</v>
      </c>
      <c r="R800" s="196">
        <f t="shared" si="188"/>
        <v>4602221190.6999998</v>
      </c>
      <c r="S800" s="201">
        <v>1</v>
      </c>
      <c r="T800" s="211">
        <v>2</v>
      </c>
      <c r="U800" s="198" t="s">
        <v>37</v>
      </c>
      <c r="V800" s="211" t="s">
        <v>39</v>
      </c>
      <c r="W800" s="211" t="s">
        <v>38</v>
      </c>
      <c r="X800" s="209" t="s">
        <v>512</v>
      </c>
      <c r="Y800" s="202">
        <v>2427400</v>
      </c>
      <c r="Z800" s="212" t="s">
        <v>154</v>
      </c>
    </row>
    <row r="801" spans="1:26" s="7" customFormat="1" ht="71.25" x14ac:dyDescent="0.2">
      <c r="A801" s="208" t="s">
        <v>152</v>
      </c>
      <c r="B801" s="202">
        <v>147</v>
      </c>
      <c r="C801" s="203" t="s">
        <v>538</v>
      </c>
      <c r="D801" s="209" t="s">
        <v>153</v>
      </c>
      <c r="E801" s="210"/>
      <c r="F801" s="210">
        <v>7705806765.2999992</v>
      </c>
      <c r="G801" s="210">
        <v>3302488613.7000008</v>
      </c>
      <c r="H801" s="209" t="s">
        <v>841</v>
      </c>
      <c r="I801" s="203" t="s">
        <v>959</v>
      </c>
      <c r="J801" s="202">
        <v>6</v>
      </c>
      <c r="K801" s="202">
        <v>6</v>
      </c>
      <c r="L801" s="202">
        <v>17</v>
      </c>
      <c r="M801" s="185">
        <v>17</v>
      </c>
      <c r="N801" s="193" t="s">
        <v>36</v>
      </c>
      <c r="O801" s="194" t="s">
        <v>256</v>
      </c>
      <c r="P801" s="211">
        <v>1</v>
      </c>
      <c r="Q801" s="196">
        <f t="shared" si="187"/>
        <v>11008295379</v>
      </c>
      <c r="R801" s="196">
        <f t="shared" si="188"/>
        <v>7705806765.2999992</v>
      </c>
      <c r="S801" s="201">
        <v>1</v>
      </c>
      <c r="T801" s="211">
        <v>2</v>
      </c>
      <c r="U801" s="198" t="s">
        <v>37</v>
      </c>
      <c r="V801" s="211" t="s">
        <v>39</v>
      </c>
      <c r="W801" s="211" t="s">
        <v>38</v>
      </c>
      <c r="X801" s="209" t="s">
        <v>512</v>
      </c>
      <c r="Y801" s="202">
        <v>2427400</v>
      </c>
      <c r="Z801" s="212" t="s">
        <v>154</v>
      </c>
    </row>
    <row r="802" spans="1:26" s="7" customFormat="1" ht="71.25" x14ac:dyDescent="0.2">
      <c r="A802" s="208" t="s">
        <v>152</v>
      </c>
      <c r="B802" s="202">
        <v>148</v>
      </c>
      <c r="C802" s="203" t="s">
        <v>538</v>
      </c>
      <c r="D802" s="209" t="s">
        <v>153</v>
      </c>
      <c r="E802" s="210"/>
      <c r="F802" s="210">
        <v>2442214616.0999999</v>
      </c>
      <c r="G802" s="210">
        <v>1046663406.9000001</v>
      </c>
      <c r="H802" s="209" t="s">
        <v>841</v>
      </c>
      <c r="I802" s="203" t="s">
        <v>971</v>
      </c>
      <c r="J802" s="202">
        <v>6</v>
      </c>
      <c r="K802" s="202">
        <v>6</v>
      </c>
      <c r="L802" s="202">
        <v>16</v>
      </c>
      <c r="M802" s="185">
        <v>16</v>
      </c>
      <c r="N802" s="193" t="s">
        <v>36</v>
      </c>
      <c r="O802" s="194" t="s">
        <v>256</v>
      </c>
      <c r="P802" s="211">
        <v>1</v>
      </c>
      <c r="Q802" s="196">
        <f t="shared" si="187"/>
        <v>3488878023</v>
      </c>
      <c r="R802" s="196">
        <f t="shared" si="188"/>
        <v>2442214616.0999999</v>
      </c>
      <c r="S802" s="201">
        <v>1</v>
      </c>
      <c r="T802" s="211">
        <v>2</v>
      </c>
      <c r="U802" s="198" t="s">
        <v>37</v>
      </c>
      <c r="V802" s="211" t="s">
        <v>39</v>
      </c>
      <c r="W802" s="211" t="s">
        <v>38</v>
      </c>
      <c r="X802" s="209" t="s">
        <v>512</v>
      </c>
      <c r="Y802" s="202">
        <v>2427400</v>
      </c>
      <c r="Z802" s="212" t="s">
        <v>154</v>
      </c>
    </row>
    <row r="803" spans="1:26" s="7" customFormat="1" ht="85.5" x14ac:dyDescent="0.2">
      <c r="A803" s="208" t="s">
        <v>152</v>
      </c>
      <c r="B803" s="202">
        <v>149</v>
      </c>
      <c r="C803" s="203" t="s">
        <v>538</v>
      </c>
      <c r="D803" s="209" t="s">
        <v>153</v>
      </c>
      <c r="E803" s="210"/>
      <c r="F803" s="210">
        <v>14000000000</v>
      </c>
      <c r="G803" s="210">
        <v>6000000000</v>
      </c>
      <c r="H803" s="209" t="s">
        <v>981</v>
      </c>
      <c r="I803" s="203" t="s">
        <v>982</v>
      </c>
      <c r="J803" s="202">
        <v>6</v>
      </c>
      <c r="K803" s="202">
        <v>6</v>
      </c>
      <c r="L803" s="202">
        <v>14</v>
      </c>
      <c r="M803" s="185">
        <v>14</v>
      </c>
      <c r="N803" s="193" t="s">
        <v>36</v>
      </c>
      <c r="O803" s="194" t="s">
        <v>256</v>
      </c>
      <c r="P803" s="211">
        <v>1</v>
      </c>
      <c r="Q803" s="196">
        <f t="shared" si="187"/>
        <v>20000000000</v>
      </c>
      <c r="R803" s="196">
        <f t="shared" si="188"/>
        <v>14000000000</v>
      </c>
      <c r="S803" s="201">
        <v>1</v>
      </c>
      <c r="T803" s="211">
        <v>2</v>
      </c>
      <c r="U803" s="198" t="s">
        <v>37</v>
      </c>
      <c r="V803" s="211" t="s">
        <v>39</v>
      </c>
      <c r="W803" s="211" t="s">
        <v>38</v>
      </c>
      <c r="X803" s="209" t="s">
        <v>512</v>
      </c>
      <c r="Y803" s="202">
        <v>2427400</v>
      </c>
      <c r="Z803" s="212" t="s">
        <v>154</v>
      </c>
    </row>
    <row r="804" spans="1:26" s="7" customFormat="1" ht="71.25" x14ac:dyDescent="0.2">
      <c r="A804" s="208" t="s">
        <v>152</v>
      </c>
      <c r="B804" s="202">
        <v>150</v>
      </c>
      <c r="C804" s="203" t="s">
        <v>538</v>
      </c>
      <c r="D804" s="209" t="s">
        <v>153</v>
      </c>
      <c r="E804" s="210"/>
      <c r="F804" s="210">
        <v>4532938169</v>
      </c>
      <c r="G804" s="210">
        <v>4532938168</v>
      </c>
      <c r="H804" s="209" t="s">
        <v>841</v>
      </c>
      <c r="I804" s="203" t="s">
        <v>983</v>
      </c>
      <c r="J804" s="202">
        <v>7</v>
      </c>
      <c r="K804" s="202">
        <v>7</v>
      </c>
      <c r="L804" s="202">
        <v>18</v>
      </c>
      <c r="M804" s="185">
        <v>18</v>
      </c>
      <c r="N804" s="193" t="s">
        <v>36</v>
      </c>
      <c r="O804" s="194" t="s">
        <v>256</v>
      </c>
      <c r="P804" s="211">
        <v>1</v>
      </c>
      <c r="Q804" s="196">
        <f t="shared" si="187"/>
        <v>9065876337</v>
      </c>
      <c r="R804" s="196">
        <f t="shared" si="188"/>
        <v>4532938169</v>
      </c>
      <c r="S804" s="201">
        <v>1</v>
      </c>
      <c r="T804" s="211">
        <v>3</v>
      </c>
      <c r="U804" s="198" t="s">
        <v>37</v>
      </c>
      <c r="V804" s="211" t="s">
        <v>39</v>
      </c>
      <c r="W804" s="211" t="s">
        <v>38</v>
      </c>
      <c r="X804" s="209" t="s">
        <v>512</v>
      </c>
      <c r="Y804" s="202">
        <v>2427400</v>
      </c>
      <c r="Z804" s="212" t="s">
        <v>154</v>
      </c>
    </row>
    <row r="805" spans="1:26" s="7" customFormat="1" ht="85.5" x14ac:dyDescent="0.2">
      <c r="A805" s="208" t="s">
        <v>152</v>
      </c>
      <c r="B805" s="202">
        <v>151</v>
      </c>
      <c r="C805" s="203" t="s">
        <v>538</v>
      </c>
      <c r="D805" s="209" t="s">
        <v>153</v>
      </c>
      <c r="E805" s="210"/>
      <c r="F805" s="210">
        <f>150058805264-150058805264</f>
        <v>0</v>
      </c>
      <c r="G805" s="210">
        <f>45951901316-45951901316</f>
        <v>0</v>
      </c>
      <c r="H805" s="209" t="s">
        <v>953</v>
      </c>
      <c r="I805" s="203" t="s">
        <v>988</v>
      </c>
      <c r="J805" s="202">
        <v>7</v>
      </c>
      <c r="K805" s="202">
        <v>7</v>
      </c>
      <c r="L805" s="202">
        <v>18</v>
      </c>
      <c r="M805" s="185">
        <v>18</v>
      </c>
      <c r="N805" s="193" t="s">
        <v>36</v>
      </c>
      <c r="O805" s="194" t="s">
        <v>256</v>
      </c>
      <c r="P805" s="211">
        <v>1</v>
      </c>
      <c r="Q805" s="196">
        <f t="shared" si="187"/>
        <v>0</v>
      </c>
      <c r="R805" s="196">
        <f t="shared" si="188"/>
        <v>0</v>
      </c>
      <c r="S805" s="201">
        <v>1</v>
      </c>
      <c r="T805" s="211">
        <v>3</v>
      </c>
      <c r="U805" s="198" t="s">
        <v>37</v>
      </c>
      <c r="V805" s="211" t="s">
        <v>39</v>
      </c>
      <c r="W805" s="211" t="s">
        <v>38</v>
      </c>
      <c r="X805" s="209" t="s">
        <v>512</v>
      </c>
      <c r="Y805" s="202">
        <v>2427400</v>
      </c>
      <c r="Z805" s="212" t="s">
        <v>154</v>
      </c>
    </row>
    <row r="806" spans="1:26" s="7" customFormat="1" ht="114" x14ac:dyDescent="0.2">
      <c r="A806" s="208" t="s">
        <v>152</v>
      </c>
      <c r="B806" s="202">
        <v>152</v>
      </c>
      <c r="C806" s="203" t="s">
        <v>538</v>
      </c>
      <c r="D806" s="209" t="s">
        <v>153</v>
      </c>
      <c r="E806" s="210"/>
      <c r="F806" s="210">
        <f>12390000000-12390000000</f>
        <v>0</v>
      </c>
      <c r="G806" s="210">
        <f>6018000000-6018000000</f>
        <v>0</v>
      </c>
      <c r="H806" s="209">
        <v>46171600</v>
      </c>
      <c r="I806" s="203" t="s">
        <v>989</v>
      </c>
      <c r="J806" s="202">
        <v>7</v>
      </c>
      <c r="K806" s="202">
        <v>7</v>
      </c>
      <c r="L806" s="202">
        <v>7</v>
      </c>
      <c r="M806" s="185">
        <v>7</v>
      </c>
      <c r="N806" s="193" t="s">
        <v>36</v>
      </c>
      <c r="O806" s="194" t="s">
        <v>256</v>
      </c>
      <c r="P806" s="211">
        <v>1</v>
      </c>
      <c r="Q806" s="196">
        <f t="shared" si="187"/>
        <v>0</v>
      </c>
      <c r="R806" s="196">
        <f t="shared" si="188"/>
        <v>0</v>
      </c>
      <c r="S806" s="201">
        <v>1</v>
      </c>
      <c r="T806" s="211">
        <v>3</v>
      </c>
      <c r="U806" s="198" t="s">
        <v>37</v>
      </c>
      <c r="V806" s="211" t="s">
        <v>39</v>
      </c>
      <c r="W806" s="211" t="s">
        <v>38</v>
      </c>
      <c r="X806" s="209" t="s">
        <v>512</v>
      </c>
      <c r="Y806" s="202">
        <v>2427400</v>
      </c>
      <c r="Z806" s="212" t="s">
        <v>154</v>
      </c>
    </row>
    <row r="807" spans="1:26" s="7" customFormat="1" ht="42.75" x14ac:dyDescent="0.2">
      <c r="A807" s="208" t="s">
        <v>152</v>
      </c>
      <c r="B807" s="202">
        <v>153</v>
      </c>
      <c r="C807" s="203" t="s">
        <v>538</v>
      </c>
      <c r="D807" s="209" t="s">
        <v>153</v>
      </c>
      <c r="E807" s="210"/>
      <c r="F807" s="210">
        <v>10205880526</v>
      </c>
      <c r="G807" s="210">
        <v>3155190131.6000004</v>
      </c>
      <c r="H807" s="209" t="s">
        <v>1004</v>
      </c>
      <c r="I807" s="203" t="s">
        <v>992</v>
      </c>
      <c r="J807" s="202">
        <v>7</v>
      </c>
      <c r="K807" s="202">
        <v>7</v>
      </c>
      <c r="L807" s="202">
        <v>18</v>
      </c>
      <c r="M807" s="185">
        <v>18</v>
      </c>
      <c r="N807" s="193" t="s">
        <v>36</v>
      </c>
      <c r="O807" s="194" t="s">
        <v>256</v>
      </c>
      <c r="P807" s="211">
        <v>1</v>
      </c>
      <c r="Q807" s="196">
        <f t="shared" si="187"/>
        <v>13361070657.6</v>
      </c>
      <c r="R807" s="196">
        <f t="shared" si="188"/>
        <v>10205880526</v>
      </c>
      <c r="S807" s="201">
        <v>1</v>
      </c>
      <c r="T807" s="211">
        <f t="shared" ref="T807:T828" si="193">IF(ISBLANK(S807),"",IF(VALUE(S807)=0,0,IF(VALUE(S807)=1,3,"")))</f>
        <v>3</v>
      </c>
      <c r="U807" s="198" t="s">
        <v>37</v>
      </c>
      <c r="V807" s="211" t="s">
        <v>39</v>
      </c>
      <c r="W807" s="211" t="s">
        <v>38</v>
      </c>
      <c r="X807" s="209" t="s">
        <v>512</v>
      </c>
      <c r="Y807" s="202">
        <v>2427400</v>
      </c>
      <c r="Z807" s="212" t="s">
        <v>154</v>
      </c>
    </row>
    <row r="808" spans="1:26" s="7" customFormat="1" ht="42.75" x14ac:dyDescent="0.2">
      <c r="A808" s="208" t="s">
        <v>152</v>
      </c>
      <c r="B808" s="202">
        <v>154</v>
      </c>
      <c r="C808" s="203" t="s">
        <v>538</v>
      </c>
      <c r="D808" s="209" t="s">
        <v>153</v>
      </c>
      <c r="E808" s="210"/>
      <c r="F808" s="210">
        <v>10205880526</v>
      </c>
      <c r="G808" s="210">
        <v>3155190131.6000004</v>
      </c>
      <c r="H808" s="209" t="s">
        <v>1004</v>
      </c>
      <c r="I808" s="203" t="s">
        <v>993</v>
      </c>
      <c r="J808" s="202">
        <v>7</v>
      </c>
      <c r="K808" s="202">
        <v>7</v>
      </c>
      <c r="L808" s="202">
        <v>18</v>
      </c>
      <c r="M808" s="185">
        <v>18</v>
      </c>
      <c r="N808" s="193" t="s">
        <v>36</v>
      </c>
      <c r="O808" s="194" t="s">
        <v>256</v>
      </c>
      <c r="P808" s="211">
        <v>1</v>
      </c>
      <c r="Q808" s="196">
        <f t="shared" si="187"/>
        <v>13361070657.6</v>
      </c>
      <c r="R808" s="196">
        <f t="shared" si="188"/>
        <v>10205880526</v>
      </c>
      <c r="S808" s="201">
        <v>1</v>
      </c>
      <c r="T808" s="211">
        <f t="shared" si="193"/>
        <v>3</v>
      </c>
      <c r="U808" s="198" t="s">
        <v>37</v>
      </c>
      <c r="V808" s="211" t="s">
        <v>39</v>
      </c>
      <c r="W808" s="211" t="s">
        <v>38</v>
      </c>
      <c r="X808" s="209" t="s">
        <v>512</v>
      </c>
      <c r="Y808" s="202">
        <v>2427400</v>
      </c>
      <c r="Z808" s="212" t="s">
        <v>154</v>
      </c>
    </row>
    <row r="809" spans="1:26" s="7" customFormat="1" ht="42.75" x14ac:dyDescent="0.2">
      <c r="A809" s="208" t="s">
        <v>152</v>
      </c>
      <c r="B809" s="202">
        <v>155</v>
      </c>
      <c r="C809" s="203" t="s">
        <v>538</v>
      </c>
      <c r="D809" s="209" t="s">
        <v>153</v>
      </c>
      <c r="E809" s="210"/>
      <c r="F809" s="210">
        <v>10205880526</v>
      </c>
      <c r="G809" s="210">
        <v>3155190131.6000004</v>
      </c>
      <c r="H809" s="209" t="s">
        <v>1004</v>
      </c>
      <c r="I809" s="203" t="s">
        <v>994</v>
      </c>
      <c r="J809" s="202">
        <v>7</v>
      </c>
      <c r="K809" s="202">
        <v>7</v>
      </c>
      <c r="L809" s="202">
        <v>18</v>
      </c>
      <c r="M809" s="185">
        <v>18</v>
      </c>
      <c r="N809" s="193" t="s">
        <v>36</v>
      </c>
      <c r="O809" s="194" t="s">
        <v>256</v>
      </c>
      <c r="P809" s="211">
        <v>1</v>
      </c>
      <c r="Q809" s="196">
        <f t="shared" ref="Q809:Q828" si="194">+E809+F809+G809</f>
        <v>13361070657.6</v>
      </c>
      <c r="R809" s="196">
        <f t="shared" ref="R809:R828" si="195">+F809</f>
        <v>10205880526</v>
      </c>
      <c r="S809" s="201">
        <v>1</v>
      </c>
      <c r="T809" s="211">
        <f t="shared" si="193"/>
        <v>3</v>
      </c>
      <c r="U809" s="198" t="s">
        <v>37</v>
      </c>
      <c r="V809" s="211" t="s">
        <v>39</v>
      </c>
      <c r="W809" s="211" t="s">
        <v>38</v>
      </c>
      <c r="X809" s="209" t="s">
        <v>512</v>
      </c>
      <c r="Y809" s="202">
        <v>2427400</v>
      </c>
      <c r="Z809" s="212" t="s">
        <v>154</v>
      </c>
    </row>
    <row r="810" spans="1:26" s="7" customFormat="1" ht="42.75" x14ac:dyDescent="0.2">
      <c r="A810" s="208" t="s">
        <v>152</v>
      </c>
      <c r="B810" s="202">
        <v>156</v>
      </c>
      <c r="C810" s="203" t="s">
        <v>538</v>
      </c>
      <c r="D810" s="209" t="s">
        <v>153</v>
      </c>
      <c r="E810" s="210"/>
      <c r="F810" s="210">
        <v>10205880526</v>
      </c>
      <c r="G810" s="210">
        <v>3155190131.6000004</v>
      </c>
      <c r="H810" s="209" t="s">
        <v>1004</v>
      </c>
      <c r="I810" s="203" t="s">
        <v>995</v>
      </c>
      <c r="J810" s="202">
        <v>7</v>
      </c>
      <c r="K810" s="202">
        <v>7</v>
      </c>
      <c r="L810" s="202">
        <v>18</v>
      </c>
      <c r="M810" s="185">
        <v>18</v>
      </c>
      <c r="N810" s="193" t="s">
        <v>36</v>
      </c>
      <c r="O810" s="194" t="s">
        <v>256</v>
      </c>
      <c r="P810" s="211">
        <v>1</v>
      </c>
      <c r="Q810" s="196">
        <f t="shared" si="194"/>
        <v>13361070657.6</v>
      </c>
      <c r="R810" s="196">
        <f t="shared" si="195"/>
        <v>10205880526</v>
      </c>
      <c r="S810" s="201">
        <v>1</v>
      </c>
      <c r="T810" s="211">
        <f t="shared" si="193"/>
        <v>3</v>
      </c>
      <c r="U810" s="198" t="s">
        <v>37</v>
      </c>
      <c r="V810" s="211" t="s">
        <v>39</v>
      </c>
      <c r="W810" s="211" t="s">
        <v>38</v>
      </c>
      <c r="X810" s="209" t="s">
        <v>512</v>
      </c>
      <c r="Y810" s="202">
        <v>2427400</v>
      </c>
      <c r="Z810" s="212" t="s">
        <v>154</v>
      </c>
    </row>
    <row r="811" spans="1:26" s="7" customFormat="1" ht="42.75" x14ac:dyDescent="0.2">
      <c r="A811" s="208" t="s">
        <v>152</v>
      </c>
      <c r="B811" s="202">
        <v>157</v>
      </c>
      <c r="C811" s="203" t="s">
        <v>538</v>
      </c>
      <c r="D811" s="209" t="s">
        <v>153</v>
      </c>
      <c r="E811" s="210"/>
      <c r="F811" s="210">
        <v>10205880526</v>
      </c>
      <c r="G811" s="210">
        <v>3155190131.6000004</v>
      </c>
      <c r="H811" s="209" t="s">
        <v>1004</v>
      </c>
      <c r="I811" s="203" t="s">
        <v>996</v>
      </c>
      <c r="J811" s="202">
        <v>7</v>
      </c>
      <c r="K811" s="202">
        <v>7</v>
      </c>
      <c r="L811" s="202">
        <v>18</v>
      </c>
      <c r="M811" s="185">
        <v>18</v>
      </c>
      <c r="N811" s="193" t="s">
        <v>36</v>
      </c>
      <c r="O811" s="194" t="s">
        <v>256</v>
      </c>
      <c r="P811" s="211">
        <v>1</v>
      </c>
      <c r="Q811" s="196">
        <f t="shared" si="194"/>
        <v>13361070657.6</v>
      </c>
      <c r="R811" s="196">
        <f t="shared" si="195"/>
        <v>10205880526</v>
      </c>
      <c r="S811" s="201">
        <v>1</v>
      </c>
      <c r="T811" s="211">
        <f t="shared" si="193"/>
        <v>3</v>
      </c>
      <c r="U811" s="198" t="s">
        <v>37</v>
      </c>
      <c r="V811" s="211" t="s">
        <v>39</v>
      </c>
      <c r="W811" s="211" t="s">
        <v>38</v>
      </c>
      <c r="X811" s="209" t="s">
        <v>512</v>
      </c>
      <c r="Y811" s="202">
        <v>2427400</v>
      </c>
      <c r="Z811" s="212" t="s">
        <v>154</v>
      </c>
    </row>
    <row r="812" spans="1:26" s="7" customFormat="1" ht="57" x14ac:dyDescent="0.2">
      <c r="A812" s="208" t="s">
        <v>152</v>
      </c>
      <c r="B812" s="202">
        <v>158</v>
      </c>
      <c r="C812" s="203" t="s">
        <v>538</v>
      </c>
      <c r="D812" s="209" t="s">
        <v>153</v>
      </c>
      <c r="E812" s="210"/>
      <c r="F812" s="210">
        <v>10205880526</v>
      </c>
      <c r="G812" s="210">
        <v>3155190131.6000004</v>
      </c>
      <c r="H812" s="209" t="s">
        <v>1004</v>
      </c>
      <c r="I812" s="203" t="s">
        <v>997</v>
      </c>
      <c r="J812" s="202">
        <v>7</v>
      </c>
      <c r="K812" s="202">
        <v>7</v>
      </c>
      <c r="L812" s="202">
        <v>18</v>
      </c>
      <c r="M812" s="185">
        <v>18</v>
      </c>
      <c r="N812" s="193" t="s">
        <v>36</v>
      </c>
      <c r="O812" s="194" t="s">
        <v>256</v>
      </c>
      <c r="P812" s="211">
        <v>1</v>
      </c>
      <c r="Q812" s="196">
        <f t="shared" si="194"/>
        <v>13361070657.6</v>
      </c>
      <c r="R812" s="196">
        <f t="shared" si="195"/>
        <v>10205880526</v>
      </c>
      <c r="S812" s="201">
        <v>1</v>
      </c>
      <c r="T812" s="211">
        <f t="shared" si="193"/>
        <v>3</v>
      </c>
      <c r="U812" s="198" t="s">
        <v>37</v>
      </c>
      <c r="V812" s="211" t="s">
        <v>39</v>
      </c>
      <c r="W812" s="211" t="s">
        <v>38</v>
      </c>
      <c r="X812" s="209" t="s">
        <v>512</v>
      </c>
      <c r="Y812" s="202">
        <v>2427400</v>
      </c>
      <c r="Z812" s="212" t="s">
        <v>154</v>
      </c>
    </row>
    <row r="813" spans="1:26" s="7" customFormat="1" ht="42.75" x14ac:dyDescent="0.2">
      <c r="A813" s="208" t="s">
        <v>152</v>
      </c>
      <c r="B813" s="202">
        <v>159</v>
      </c>
      <c r="C813" s="203" t="s">
        <v>538</v>
      </c>
      <c r="D813" s="209" t="s">
        <v>153</v>
      </c>
      <c r="E813" s="210"/>
      <c r="F813" s="210">
        <v>10205880526</v>
      </c>
      <c r="G813" s="210">
        <v>3155190131.6000004</v>
      </c>
      <c r="H813" s="209" t="s">
        <v>1004</v>
      </c>
      <c r="I813" s="203" t="s">
        <v>998</v>
      </c>
      <c r="J813" s="202">
        <v>7</v>
      </c>
      <c r="K813" s="202">
        <v>7</v>
      </c>
      <c r="L813" s="202">
        <v>18</v>
      </c>
      <c r="M813" s="185">
        <v>18</v>
      </c>
      <c r="N813" s="193" t="s">
        <v>36</v>
      </c>
      <c r="O813" s="194" t="s">
        <v>256</v>
      </c>
      <c r="P813" s="211">
        <v>1</v>
      </c>
      <c r="Q813" s="196">
        <f t="shared" si="194"/>
        <v>13361070657.6</v>
      </c>
      <c r="R813" s="196">
        <f t="shared" si="195"/>
        <v>10205880526</v>
      </c>
      <c r="S813" s="201">
        <v>1</v>
      </c>
      <c r="T813" s="211">
        <f t="shared" si="193"/>
        <v>3</v>
      </c>
      <c r="U813" s="198" t="s">
        <v>37</v>
      </c>
      <c r="V813" s="211" t="s">
        <v>39</v>
      </c>
      <c r="W813" s="211" t="s">
        <v>38</v>
      </c>
      <c r="X813" s="209" t="s">
        <v>512</v>
      </c>
      <c r="Y813" s="202">
        <v>2427400</v>
      </c>
      <c r="Z813" s="212" t="s">
        <v>154</v>
      </c>
    </row>
    <row r="814" spans="1:26" s="7" customFormat="1" ht="57" x14ac:dyDescent="0.2">
      <c r="A814" s="208" t="s">
        <v>152</v>
      </c>
      <c r="B814" s="202">
        <v>160</v>
      </c>
      <c r="C814" s="203" t="s">
        <v>538</v>
      </c>
      <c r="D814" s="209" t="s">
        <v>153</v>
      </c>
      <c r="E814" s="210"/>
      <c r="F814" s="210">
        <v>10205880526</v>
      </c>
      <c r="G814" s="210">
        <v>3155190131.6000004</v>
      </c>
      <c r="H814" s="209" t="s">
        <v>1004</v>
      </c>
      <c r="I814" s="203" t="s">
        <v>999</v>
      </c>
      <c r="J814" s="202">
        <v>7</v>
      </c>
      <c r="K814" s="202">
        <v>7</v>
      </c>
      <c r="L814" s="202">
        <v>18</v>
      </c>
      <c r="M814" s="185">
        <v>18</v>
      </c>
      <c r="N814" s="193" t="s">
        <v>36</v>
      </c>
      <c r="O814" s="194" t="s">
        <v>256</v>
      </c>
      <c r="P814" s="211">
        <v>1</v>
      </c>
      <c r="Q814" s="196">
        <f t="shared" si="194"/>
        <v>13361070657.6</v>
      </c>
      <c r="R814" s="196">
        <f t="shared" si="195"/>
        <v>10205880526</v>
      </c>
      <c r="S814" s="201">
        <v>1</v>
      </c>
      <c r="T814" s="211">
        <f t="shared" si="193"/>
        <v>3</v>
      </c>
      <c r="U814" s="198" t="s">
        <v>37</v>
      </c>
      <c r="V814" s="211" t="s">
        <v>39</v>
      </c>
      <c r="W814" s="211" t="s">
        <v>38</v>
      </c>
      <c r="X814" s="209" t="s">
        <v>512</v>
      </c>
      <c r="Y814" s="202">
        <v>2427400</v>
      </c>
      <c r="Z814" s="212" t="s">
        <v>154</v>
      </c>
    </row>
    <row r="815" spans="1:26" s="7" customFormat="1" ht="42.75" x14ac:dyDescent="0.2">
      <c r="A815" s="208" t="s">
        <v>152</v>
      </c>
      <c r="B815" s="202">
        <v>161</v>
      </c>
      <c r="C815" s="203" t="s">
        <v>538</v>
      </c>
      <c r="D815" s="209" t="s">
        <v>153</v>
      </c>
      <c r="E815" s="210"/>
      <c r="F815" s="210">
        <v>10205880526</v>
      </c>
      <c r="G815" s="210">
        <v>3155190131.6000004</v>
      </c>
      <c r="H815" s="209" t="s">
        <v>1004</v>
      </c>
      <c r="I815" s="203" t="s">
        <v>1000</v>
      </c>
      <c r="J815" s="202">
        <v>7</v>
      </c>
      <c r="K815" s="202">
        <v>7</v>
      </c>
      <c r="L815" s="202">
        <v>18</v>
      </c>
      <c r="M815" s="185">
        <v>18</v>
      </c>
      <c r="N815" s="193" t="s">
        <v>36</v>
      </c>
      <c r="O815" s="194" t="s">
        <v>256</v>
      </c>
      <c r="P815" s="211">
        <v>1</v>
      </c>
      <c r="Q815" s="196">
        <f t="shared" si="194"/>
        <v>13361070657.6</v>
      </c>
      <c r="R815" s="196">
        <f t="shared" si="195"/>
        <v>10205880526</v>
      </c>
      <c r="S815" s="201">
        <v>1</v>
      </c>
      <c r="T815" s="211">
        <f t="shared" si="193"/>
        <v>3</v>
      </c>
      <c r="U815" s="198" t="s">
        <v>37</v>
      </c>
      <c r="V815" s="211" t="s">
        <v>39</v>
      </c>
      <c r="W815" s="211" t="s">
        <v>38</v>
      </c>
      <c r="X815" s="209" t="s">
        <v>512</v>
      </c>
      <c r="Y815" s="202">
        <v>2427400</v>
      </c>
      <c r="Z815" s="212" t="s">
        <v>154</v>
      </c>
    </row>
    <row r="816" spans="1:26" s="7" customFormat="1" ht="42.75" x14ac:dyDescent="0.2">
      <c r="A816" s="208" t="s">
        <v>152</v>
      </c>
      <c r="B816" s="202">
        <v>162</v>
      </c>
      <c r="C816" s="203" t="s">
        <v>538</v>
      </c>
      <c r="D816" s="209" t="s">
        <v>153</v>
      </c>
      <c r="E816" s="210"/>
      <c r="F816" s="210">
        <v>10205880526</v>
      </c>
      <c r="G816" s="210">
        <v>3155190131.6000004</v>
      </c>
      <c r="H816" s="209" t="s">
        <v>1004</v>
      </c>
      <c r="I816" s="203" t="s">
        <v>1001</v>
      </c>
      <c r="J816" s="202">
        <v>7</v>
      </c>
      <c r="K816" s="202">
        <v>7</v>
      </c>
      <c r="L816" s="202">
        <v>18</v>
      </c>
      <c r="M816" s="185">
        <v>18</v>
      </c>
      <c r="N816" s="193" t="s">
        <v>36</v>
      </c>
      <c r="O816" s="194" t="s">
        <v>256</v>
      </c>
      <c r="P816" s="211">
        <v>1</v>
      </c>
      <c r="Q816" s="196">
        <f t="shared" si="194"/>
        <v>13361070657.6</v>
      </c>
      <c r="R816" s="196">
        <f t="shared" si="195"/>
        <v>10205880526</v>
      </c>
      <c r="S816" s="201">
        <v>1</v>
      </c>
      <c r="T816" s="211">
        <f t="shared" si="193"/>
        <v>3</v>
      </c>
      <c r="U816" s="198" t="s">
        <v>37</v>
      </c>
      <c r="V816" s="211" t="s">
        <v>39</v>
      </c>
      <c r="W816" s="211" t="s">
        <v>38</v>
      </c>
      <c r="X816" s="209" t="s">
        <v>512</v>
      </c>
      <c r="Y816" s="202">
        <v>2427400</v>
      </c>
      <c r="Z816" s="212" t="s">
        <v>154</v>
      </c>
    </row>
    <row r="817" spans="1:26" s="7" customFormat="1" ht="42.75" x14ac:dyDescent="0.2">
      <c r="A817" s="208" t="s">
        <v>152</v>
      </c>
      <c r="B817" s="202">
        <v>163</v>
      </c>
      <c r="C817" s="203" t="s">
        <v>538</v>
      </c>
      <c r="D817" s="209" t="s">
        <v>153</v>
      </c>
      <c r="E817" s="210"/>
      <c r="F817" s="210">
        <v>48000000000</v>
      </c>
      <c r="G817" s="210">
        <v>14400000000</v>
      </c>
      <c r="H817" s="209" t="s">
        <v>1004</v>
      </c>
      <c r="I817" s="203" t="s">
        <v>1002</v>
      </c>
      <c r="J817" s="202">
        <v>7</v>
      </c>
      <c r="K817" s="202">
        <v>7</v>
      </c>
      <c r="L817" s="202">
        <v>18</v>
      </c>
      <c r="M817" s="185">
        <v>18</v>
      </c>
      <c r="N817" s="193" t="s">
        <v>36</v>
      </c>
      <c r="O817" s="194" t="s">
        <v>256</v>
      </c>
      <c r="P817" s="211">
        <v>1</v>
      </c>
      <c r="Q817" s="196">
        <f t="shared" si="194"/>
        <v>62400000000</v>
      </c>
      <c r="R817" s="196">
        <f t="shared" si="195"/>
        <v>48000000000</v>
      </c>
      <c r="S817" s="201">
        <v>1</v>
      </c>
      <c r="T817" s="211">
        <f t="shared" si="193"/>
        <v>3</v>
      </c>
      <c r="U817" s="198" t="s">
        <v>37</v>
      </c>
      <c r="V817" s="211" t="s">
        <v>39</v>
      </c>
      <c r="W817" s="211" t="s">
        <v>38</v>
      </c>
      <c r="X817" s="209" t="s">
        <v>512</v>
      </c>
      <c r="Y817" s="202">
        <v>2427400</v>
      </c>
      <c r="Z817" s="212" t="s">
        <v>154</v>
      </c>
    </row>
    <row r="818" spans="1:26" s="7" customFormat="1" ht="42.75" x14ac:dyDescent="0.2">
      <c r="A818" s="208" t="s">
        <v>152</v>
      </c>
      <c r="B818" s="202">
        <v>164</v>
      </c>
      <c r="C818" s="203" t="s">
        <v>538</v>
      </c>
      <c r="D818" s="209" t="s">
        <v>153</v>
      </c>
      <c r="E818" s="210"/>
      <c r="F818" s="210">
        <v>12390000000</v>
      </c>
      <c r="G818" s="210">
        <v>6018000000</v>
      </c>
      <c r="H818" s="209">
        <v>46171600</v>
      </c>
      <c r="I818" s="203" t="s">
        <v>1003</v>
      </c>
      <c r="J818" s="202">
        <v>7</v>
      </c>
      <c r="K818" s="202">
        <v>7</v>
      </c>
      <c r="L818" s="202">
        <v>7</v>
      </c>
      <c r="M818" s="185">
        <v>7</v>
      </c>
      <c r="N818" s="193" t="s">
        <v>36</v>
      </c>
      <c r="O818" s="194" t="s">
        <v>256</v>
      </c>
      <c r="P818" s="211">
        <v>1</v>
      </c>
      <c r="Q818" s="196">
        <f t="shared" si="194"/>
        <v>18408000000</v>
      </c>
      <c r="R818" s="196">
        <f t="shared" si="195"/>
        <v>12390000000</v>
      </c>
      <c r="S818" s="201">
        <v>1</v>
      </c>
      <c r="T818" s="211">
        <f t="shared" si="193"/>
        <v>3</v>
      </c>
      <c r="U818" s="198" t="s">
        <v>37</v>
      </c>
      <c r="V818" s="211" t="s">
        <v>39</v>
      </c>
      <c r="W818" s="211" t="s">
        <v>38</v>
      </c>
      <c r="X818" s="209" t="s">
        <v>512</v>
      </c>
      <c r="Y818" s="202">
        <v>2427400</v>
      </c>
      <c r="Z818" s="212" t="s">
        <v>154</v>
      </c>
    </row>
    <row r="819" spans="1:26" s="7" customFormat="1" ht="42.75" x14ac:dyDescent="0.2">
      <c r="A819" s="208" t="s">
        <v>527</v>
      </c>
      <c r="B819" s="202">
        <v>1</v>
      </c>
      <c r="C819" s="203" t="s">
        <v>528</v>
      </c>
      <c r="D819" s="209" t="s">
        <v>529</v>
      </c>
      <c r="E819" s="210"/>
      <c r="F819" s="210">
        <v>3912000000</v>
      </c>
      <c r="G819" s="210"/>
      <c r="H819" s="209">
        <v>84131605</v>
      </c>
      <c r="I819" s="203" t="s">
        <v>530</v>
      </c>
      <c r="J819" s="202">
        <v>1</v>
      </c>
      <c r="K819" s="202">
        <v>1</v>
      </c>
      <c r="L819" s="202">
        <v>12</v>
      </c>
      <c r="M819" s="185">
        <f t="shared" ref="M819:M828" si="196">IF(ISBLANK(J819),"",1)</f>
        <v>1</v>
      </c>
      <c r="N819" s="193" t="s">
        <v>210</v>
      </c>
      <c r="O819" s="194" t="s">
        <v>264</v>
      </c>
      <c r="P819" s="211">
        <f t="shared" ref="P819:P828" si="197">IF(ISBLANK(N819),"",1)</f>
        <v>1</v>
      </c>
      <c r="Q819" s="196">
        <f t="shared" si="194"/>
        <v>3912000000</v>
      </c>
      <c r="R819" s="196">
        <f t="shared" si="195"/>
        <v>3912000000</v>
      </c>
      <c r="S819" s="201" t="s">
        <v>217</v>
      </c>
      <c r="T819" s="211">
        <f t="shared" si="193"/>
        <v>0</v>
      </c>
      <c r="U819" s="198" t="str">
        <f t="shared" ref="U819:U828" si="198">IF(ISBLANK(N819),"","SUBDIRECCION DE GESTION CONTRACTUAL")</f>
        <v>SUBDIRECCION DE GESTION CONTRACTUAL</v>
      </c>
      <c r="V819" s="211" t="str">
        <f t="shared" ref="V819:V828" si="199">IF(ISBLANK(N819),"","CO-DC")</f>
        <v>CO-DC</v>
      </c>
      <c r="W819" s="211" t="str">
        <f t="shared" ref="W819:W828" si="200">IF(ISBLANK(N819),"","Distrito Capital de Bogotá")</f>
        <v>Distrito Capital de Bogotá</v>
      </c>
      <c r="X819" s="209" t="s">
        <v>531</v>
      </c>
      <c r="Y819" s="202">
        <v>2427400</v>
      </c>
      <c r="Z819" s="212" t="s">
        <v>532</v>
      </c>
    </row>
    <row r="820" spans="1:26" s="7" customFormat="1" ht="71.25" x14ac:dyDescent="0.2">
      <c r="A820" s="208" t="s">
        <v>527</v>
      </c>
      <c r="B820" s="202">
        <v>2</v>
      </c>
      <c r="C820" s="203" t="s">
        <v>528</v>
      </c>
      <c r="D820" s="209" t="s">
        <v>529</v>
      </c>
      <c r="E820" s="210"/>
      <c r="F820" s="210">
        <v>45600000000</v>
      </c>
      <c r="G820" s="210">
        <f>14000000000-13999665275</f>
        <v>334725</v>
      </c>
      <c r="H820" s="209" t="s">
        <v>72</v>
      </c>
      <c r="I820" s="203" t="s">
        <v>928</v>
      </c>
      <c r="J820" s="202">
        <v>5</v>
      </c>
      <c r="K820" s="202">
        <v>5</v>
      </c>
      <c r="L820" s="202">
        <v>6</v>
      </c>
      <c r="M820" s="185">
        <f t="shared" si="196"/>
        <v>1</v>
      </c>
      <c r="N820" s="193" t="s">
        <v>36</v>
      </c>
      <c r="O820" s="194" t="s">
        <v>256</v>
      </c>
      <c r="P820" s="211">
        <f t="shared" si="197"/>
        <v>1</v>
      </c>
      <c r="Q820" s="196">
        <f t="shared" si="194"/>
        <v>45600334725</v>
      </c>
      <c r="R820" s="196">
        <f t="shared" si="195"/>
        <v>45600000000</v>
      </c>
      <c r="S820" s="201" t="s">
        <v>217</v>
      </c>
      <c r="T820" s="211">
        <f t="shared" si="193"/>
        <v>0</v>
      </c>
      <c r="U820" s="198" t="str">
        <f t="shared" si="198"/>
        <v>SUBDIRECCION DE GESTION CONTRACTUAL</v>
      </c>
      <c r="V820" s="211" t="str">
        <f t="shared" si="199"/>
        <v>CO-DC</v>
      </c>
      <c r="W820" s="211" t="str">
        <f t="shared" si="200"/>
        <v>Distrito Capital de Bogotá</v>
      </c>
      <c r="X820" s="209" t="s">
        <v>531</v>
      </c>
      <c r="Y820" s="202">
        <v>2427400</v>
      </c>
      <c r="Z820" s="212" t="s">
        <v>532</v>
      </c>
    </row>
    <row r="821" spans="1:26" s="7" customFormat="1" ht="42.75" x14ac:dyDescent="0.2">
      <c r="A821" s="208" t="s">
        <v>527</v>
      </c>
      <c r="B821" s="202">
        <v>3</v>
      </c>
      <c r="C821" s="203" t="s">
        <v>528</v>
      </c>
      <c r="D821" s="209" t="s">
        <v>529</v>
      </c>
      <c r="E821" s="210"/>
      <c r="F821" s="210">
        <v>217600000</v>
      </c>
      <c r="G821" s="210"/>
      <c r="H821" s="209">
        <v>81111800</v>
      </c>
      <c r="I821" s="203" t="s">
        <v>533</v>
      </c>
      <c r="J821" s="202">
        <v>5</v>
      </c>
      <c r="K821" s="202">
        <v>5</v>
      </c>
      <c r="L821" s="202">
        <v>7</v>
      </c>
      <c r="M821" s="185">
        <f t="shared" si="196"/>
        <v>1</v>
      </c>
      <c r="N821" s="193" t="s">
        <v>36</v>
      </c>
      <c r="O821" s="194" t="s">
        <v>256</v>
      </c>
      <c r="P821" s="211">
        <f t="shared" si="197"/>
        <v>1</v>
      </c>
      <c r="Q821" s="196">
        <f t="shared" si="194"/>
        <v>217600000</v>
      </c>
      <c r="R821" s="196">
        <f t="shared" si="195"/>
        <v>217600000</v>
      </c>
      <c r="S821" s="201" t="s">
        <v>217</v>
      </c>
      <c r="T821" s="211">
        <f t="shared" si="193"/>
        <v>0</v>
      </c>
      <c r="U821" s="198" t="str">
        <f t="shared" si="198"/>
        <v>SUBDIRECCION DE GESTION CONTRACTUAL</v>
      </c>
      <c r="V821" s="211" t="str">
        <f t="shared" si="199"/>
        <v>CO-DC</v>
      </c>
      <c r="W821" s="211" t="str">
        <f t="shared" si="200"/>
        <v>Distrito Capital de Bogotá</v>
      </c>
      <c r="X821" s="209" t="s">
        <v>531</v>
      </c>
      <c r="Y821" s="202">
        <v>2427400</v>
      </c>
      <c r="Z821" s="212" t="s">
        <v>532</v>
      </c>
    </row>
    <row r="822" spans="1:26" s="7" customFormat="1" ht="71.25" x14ac:dyDescent="0.2">
      <c r="A822" s="208" t="s">
        <v>527</v>
      </c>
      <c r="B822" s="202">
        <v>4</v>
      </c>
      <c r="C822" s="203" t="s">
        <v>528</v>
      </c>
      <c r="D822" s="209" t="s">
        <v>529</v>
      </c>
      <c r="E822" s="210"/>
      <c r="F822" s="210">
        <f>16406400000</f>
        <v>16406400000</v>
      </c>
      <c r="G822" s="210"/>
      <c r="H822" s="188" t="s">
        <v>710</v>
      </c>
      <c r="I822" s="203" t="s">
        <v>534</v>
      </c>
      <c r="J822" s="190">
        <v>2</v>
      </c>
      <c r="K822" s="191">
        <v>3</v>
      </c>
      <c r="L822" s="192">
        <v>9</v>
      </c>
      <c r="M822" s="185">
        <f t="shared" si="196"/>
        <v>1</v>
      </c>
      <c r="N822" s="193" t="s">
        <v>221</v>
      </c>
      <c r="O822" s="194" t="s">
        <v>903</v>
      </c>
      <c r="P822" s="211">
        <f t="shared" si="197"/>
        <v>1</v>
      </c>
      <c r="Q822" s="196">
        <f t="shared" si="194"/>
        <v>16406400000</v>
      </c>
      <c r="R822" s="196">
        <f t="shared" si="195"/>
        <v>16406400000</v>
      </c>
      <c r="S822" s="201" t="s">
        <v>217</v>
      </c>
      <c r="T822" s="211">
        <f t="shared" si="193"/>
        <v>0</v>
      </c>
      <c r="U822" s="198" t="str">
        <f t="shared" si="198"/>
        <v>SUBDIRECCION DE GESTION CONTRACTUAL</v>
      </c>
      <c r="V822" s="211" t="str">
        <f t="shared" si="199"/>
        <v>CO-DC</v>
      </c>
      <c r="W822" s="211" t="str">
        <f t="shared" si="200"/>
        <v>Distrito Capital de Bogotá</v>
      </c>
      <c r="X822" s="209" t="s">
        <v>531</v>
      </c>
      <c r="Y822" s="202">
        <v>2427400</v>
      </c>
      <c r="Z822" s="212" t="s">
        <v>532</v>
      </c>
    </row>
    <row r="823" spans="1:26" s="7" customFormat="1" ht="57" x14ac:dyDescent="0.2">
      <c r="A823" s="208" t="s">
        <v>527</v>
      </c>
      <c r="B823" s="202">
        <v>5</v>
      </c>
      <c r="C823" s="203" t="s">
        <v>528</v>
      </c>
      <c r="D823" s="209" t="s">
        <v>529</v>
      </c>
      <c r="E823" s="210"/>
      <c r="F823" s="210">
        <v>3124000000</v>
      </c>
      <c r="G823" s="210"/>
      <c r="H823" s="209" t="s">
        <v>708</v>
      </c>
      <c r="I823" s="243" t="s">
        <v>984</v>
      </c>
      <c r="J823" s="202">
        <v>7</v>
      </c>
      <c r="K823" s="202">
        <v>7</v>
      </c>
      <c r="L823" s="202">
        <v>5</v>
      </c>
      <c r="M823" s="185">
        <f t="shared" si="196"/>
        <v>1</v>
      </c>
      <c r="N823" s="193" t="s">
        <v>36</v>
      </c>
      <c r="O823" s="194" t="s">
        <v>256</v>
      </c>
      <c r="P823" s="211">
        <f t="shared" si="197"/>
        <v>1</v>
      </c>
      <c r="Q823" s="196">
        <f t="shared" si="194"/>
        <v>3124000000</v>
      </c>
      <c r="R823" s="196">
        <f t="shared" si="195"/>
        <v>3124000000</v>
      </c>
      <c r="S823" s="201" t="s">
        <v>217</v>
      </c>
      <c r="T823" s="211">
        <f t="shared" si="193"/>
        <v>0</v>
      </c>
      <c r="U823" s="198" t="str">
        <f t="shared" si="198"/>
        <v>SUBDIRECCION DE GESTION CONTRACTUAL</v>
      </c>
      <c r="V823" s="211" t="str">
        <f t="shared" si="199"/>
        <v>CO-DC</v>
      </c>
      <c r="W823" s="211" t="str">
        <f t="shared" si="200"/>
        <v>Distrito Capital de Bogotá</v>
      </c>
      <c r="X823" s="209" t="s">
        <v>531</v>
      </c>
      <c r="Y823" s="202">
        <v>2427400</v>
      </c>
      <c r="Z823" s="212" t="s">
        <v>532</v>
      </c>
    </row>
    <row r="824" spans="1:26" s="7" customFormat="1" ht="28.5" x14ac:dyDescent="0.2">
      <c r="A824" s="208" t="s">
        <v>527</v>
      </c>
      <c r="B824" s="202">
        <v>6</v>
      </c>
      <c r="C824" s="203" t="s">
        <v>528</v>
      </c>
      <c r="D824" s="209" t="s">
        <v>529</v>
      </c>
      <c r="E824" s="210"/>
      <c r="F824" s="210">
        <v>115000000</v>
      </c>
      <c r="G824" s="210"/>
      <c r="H824" s="209">
        <v>86132000</v>
      </c>
      <c r="I824" s="243" t="s">
        <v>985</v>
      </c>
      <c r="J824" s="202">
        <v>7</v>
      </c>
      <c r="K824" s="202">
        <v>7</v>
      </c>
      <c r="L824" s="202">
        <v>5</v>
      </c>
      <c r="M824" s="185">
        <f t="shared" si="196"/>
        <v>1</v>
      </c>
      <c r="N824" s="193" t="s">
        <v>36</v>
      </c>
      <c r="O824" s="194" t="s">
        <v>256</v>
      </c>
      <c r="P824" s="211">
        <f t="shared" si="197"/>
        <v>1</v>
      </c>
      <c r="Q824" s="196">
        <f t="shared" si="194"/>
        <v>115000000</v>
      </c>
      <c r="R824" s="196">
        <f t="shared" si="195"/>
        <v>115000000</v>
      </c>
      <c r="S824" s="201" t="s">
        <v>217</v>
      </c>
      <c r="T824" s="211">
        <f t="shared" si="193"/>
        <v>0</v>
      </c>
      <c r="U824" s="198" t="str">
        <f t="shared" si="198"/>
        <v>SUBDIRECCION DE GESTION CONTRACTUAL</v>
      </c>
      <c r="V824" s="211" t="str">
        <f t="shared" si="199"/>
        <v>CO-DC</v>
      </c>
      <c r="W824" s="211" t="str">
        <f t="shared" si="200"/>
        <v>Distrito Capital de Bogotá</v>
      </c>
      <c r="X824" s="209" t="s">
        <v>531</v>
      </c>
      <c r="Y824" s="202">
        <v>2427400</v>
      </c>
      <c r="Z824" s="212" t="s">
        <v>532</v>
      </c>
    </row>
    <row r="825" spans="1:26" s="7" customFormat="1" ht="28.5" x14ac:dyDescent="0.2">
      <c r="A825" s="208" t="s">
        <v>527</v>
      </c>
      <c r="B825" s="202">
        <v>7</v>
      </c>
      <c r="C825" s="203" t="s">
        <v>528</v>
      </c>
      <c r="D825" s="209" t="s">
        <v>529</v>
      </c>
      <c r="E825" s="210"/>
      <c r="F825" s="210">
        <v>500000000</v>
      </c>
      <c r="G825" s="210"/>
      <c r="H825" s="209" t="s">
        <v>709</v>
      </c>
      <c r="I825" s="243" t="s">
        <v>986</v>
      </c>
      <c r="J825" s="202">
        <v>7</v>
      </c>
      <c r="K825" s="202">
        <v>7</v>
      </c>
      <c r="L825" s="202">
        <v>5</v>
      </c>
      <c r="M825" s="185">
        <f t="shared" si="196"/>
        <v>1</v>
      </c>
      <c r="N825" s="193" t="s">
        <v>36</v>
      </c>
      <c r="O825" s="194" t="s">
        <v>256</v>
      </c>
      <c r="P825" s="211">
        <f t="shared" si="197"/>
        <v>1</v>
      </c>
      <c r="Q825" s="196">
        <f t="shared" si="194"/>
        <v>500000000</v>
      </c>
      <c r="R825" s="196">
        <f t="shared" si="195"/>
        <v>500000000</v>
      </c>
      <c r="S825" s="201" t="s">
        <v>217</v>
      </c>
      <c r="T825" s="211">
        <f t="shared" si="193"/>
        <v>0</v>
      </c>
      <c r="U825" s="198" t="str">
        <f t="shared" si="198"/>
        <v>SUBDIRECCION DE GESTION CONTRACTUAL</v>
      </c>
      <c r="V825" s="211" t="str">
        <f t="shared" si="199"/>
        <v>CO-DC</v>
      </c>
      <c r="W825" s="211" t="str">
        <f t="shared" si="200"/>
        <v>Distrito Capital de Bogotá</v>
      </c>
      <c r="X825" s="209" t="s">
        <v>531</v>
      </c>
      <c r="Y825" s="202">
        <v>2427400</v>
      </c>
      <c r="Z825" s="212" t="s">
        <v>532</v>
      </c>
    </row>
    <row r="826" spans="1:26" s="7" customFormat="1" ht="71.25" x14ac:dyDescent="0.2">
      <c r="A826" s="208" t="s">
        <v>527</v>
      </c>
      <c r="B826" s="202">
        <v>8</v>
      </c>
      <c r="C826" s="203" t="s">
        <v>528</v>
      </c>
      <c r="D826" s="209" t="s">
        <v>529</v>
      </c>
      <c r="E826" s="210"/>
      <c r="F826" s="210">
        <f>1650000000-80000000</f>
        <v>1570000000</v>
      </c>
      <c r="G826" s="210"/>
      <c r="H826" s="209" t="s">
        <v>42</v>
      </c>
      <c r="I826" s="243" t="s">
        <v>768</v>
      </c>
      <c r="J826" s="202">
        <v>3</v>
      </c>
      <c r="K826" s="202">
        <v>4</v>
      </c>
      <c r="L826" s="202">
        <v>9</v>
      </c>
      <c r="M826" s="185">
        <f t="shared" si="196"/>
        <v>1</v>
      </c>
      <c r="N826" s="193" t="s">
        <v>61</v>
      </c>
      <c r="O826" s="194" t="s">
        <v>902</v>
      </c>
      <c r="P826" s="211">
        <f t="shared" si="197"/>
        <v>1</v>
      </c>
      <c r="Q826" s="196">
        <f t="shared" si="194"/>
        <v>1570000000</v>
      </c>
      <c r="R826" s="196">
        <f t="shared" si="195"/>
        <v>1570000000</v>
      </c>
      <c r="S826" s="201" t="s">
        <v>217</v>
      </c>
      <c r="T826" s="211">
        <f t="shared" si="193"/>
        <v>0</v>
      </c>
      <c r="U826" s="198" t="str">
        <f t="shared" si="198"/>
        <v>SUBDIRECCION DE GESTION CONTRACTUAL</v>
      </c>
      <c r="V826" s="211" t="str">
        <f t="shared" si="199"/>
        <v>CO-DC</v>
      </c>
      <c r="W826" s="211" t="str">
        <f t="shared" si="200"/>
        <v>Distrito Capital de Bogotá</v>
      </c>
      <c r="X826" s="209" t="s">
        <v>321</v>
      </c>
      <c r="Y826" s="202">
        <v>2427400</v>
      </c>
      <c r="Z826" s="127" t="s">
        <v>75</v>
      </c>
    </row>
    <row r="827" spans="1:26" s="7" customFormat="1" ht="14.25" customHeight="1" x14ac:dyDescent="0.2">
      <c r="A827" s="208" t="s">
        <v>527</v>
      </c>
      <c r="B827" s="202">
        <v>9</v>
      </c>
      <c r="C827" s="203" t="s">
        <v>528</v>
      </c>
      <c r="D827" s="209" t="s">
        <v>529</v>
      </c>
      <c r="E827" s="210"/>
      <c r="F827" s="210">
        <f>1000000000</f>
        <v>1000000000</v>
      </c>
      <c r="G827" s="210"/>
      <c r="H827" s="188" t="s">
        <v>710</v>
      </c>
      <c r="I827" s="203" t="s">
        <v>534</v>
      </c>
      <c r="J827" s="206">
        <v>1</v>
      </c>
      <c r="K827" s="206">
        <v>2</v>
      </c>
      <c r="L827" s="206">
        <v>3</v>
      </c>
      <c r="M827" s="185">
        <f t="shared" si="196"/>
        <v>1</v>
      </c>
      <c r="N827" s="193" t="s">
        <v>36</v>
      </c>
      <c r="O827" s="194" t="s">
        <v>256</v>
      </c>
      <c r="P827" s="211">
        <f t="shared" si="197"/>
        <v>1</v>
      </c>
      <c r="Q827" s="196">
        <f t="shared" si="194"/>
        <v>1000000000</v>
      </c>
      <c r="R827" s="196">
        <f t="shared" si="195"/>
        <v>1000000000</v>
      </c>
      <c r="S827" s="201" t="s">
        <v>217</v>
      </c>
      <c r="T827" s="211">
        <f t="shared" si="193"/>
        <v>0</v>
      </c>
      <c r="U827" s="198" t="str">
        <f t="shared" si="198"/>
        <v>SUBDIRECCION DE GESTION CONTRACTUAL</v>
      </c>
      <c r="V827" s="211" t="str">
        <f t="shared" si="199"/>
        <v>CO-DC</v>
      </c>
      <c r="W827" s="211" t="str">
        <f t="shared" si="200"/>
        <v>Distrito Capital de Bogotá</v>
      </c>
      <c r="X827" s="209" t="s">
        <v>531</v>
      </c>
      <c r="Y827" s="202">
        <v>2427400</v>
      </c>
      <c r="Z827" s="212" t="s">
        <v>532</v>
      </c>
    </row>
    <row r="828" spans="1:26" s="7" customFormat="1" ht="14.25" customHeight="1" thickBot="1" x14ac:dyDescent="0.3">
      <c r="A828" s="184" t="s">
        <v>527</v>
      </c>
      <c r="B828" s="185">
        <v>10</v>
      </c>
      <c r="C828" s="186" t="s">
        <v>528</v>
      </c>
      <c r="D828" s="186" t="s">
        <v>529</v>
      </c>
      <c r="E828" s="187"/>
      <c r="F828" s="187">
        <v>200000000</v>
      </c>
      <c r="G828" s="187"/>
      <c r="H828" s="188" t="s">
        <v>225</v>
      </c>
      <c r="I828" s="189" t="s">
        <v>581</v>
      </c>
      <c r="J828" s="206">
        <v>7</v>
      </c>
      <c r="K828" s="206">
        <v>9</v>
      </c>
      <c r="L828" s="206">
        <v>3</v>
      </c>
      <c r="M828" s="185">
        <f t="shared" si="196"/>
        <v>1</v>
      </c>
      <c r="N828" s="279" t="s">
        <v>61</v>
      </c>
      <c r="O828" s="280" t="s">
        <v>902</v>
      </c>
      <c r="P828" s="195">
        <f t="shared" si="197"/>
        <v>1</v>
      </c>
      <c r="Q828" s="196">
        <f t="shared" si="194"/>
        <v>200000000</v>
      </c>
      <c r="R828" s="196">
        <f t="shared" si="195"/>
        <v>200000000</v>
      </c>
      <c r="S828" s="197" t="s">
        <v>217</v>
      </c>
      <c r="T828" s="193">
        <f t="shared" si="193"/>
        <v>0</v>
      </c>
      <c r="U828" s="198" t="str">
        <f t="shared" si="198"/>
        <v>SUBDIRECCION DE GESTION CONTRACTUAL</v>
      </c>
      <c r="V828" s="185" t="str">
        <f t="shared" si="199"/>
        <v>CO-DC</v>
      </c>
      <c r="W828" s="198" t="str">
        <f t="shared" si="200"/>
        <v>Distrito Capital de Bogotá</v>
      </c>
      <c r="X828" s="199" t="s">
        <v>807</v>
      </c>
      <c r="Y828" s="185">
        <v>2427400</v>
      </c>
      <c r="Z828" s="125" t="s">
        <v>808</v>
      </c>
    </row>
    <row r="829" spans="1:26" s="7" customFormat="1" ht="15" customHeight="1" thickBot="1" x14ac:dyDescent="0.3">
      <c r="A829" s="281" t="s">
        <v>527</v>
      </c>
      <c r="B829" s="282">
        <v>11</v>
      </c>
      <c r="C829" s="283" t="s">
        <v>528</v>
      </c>
      <c r="D829" s="284" t="s">
        <v>529</v>
      </c>
      <c r="E829" s="285"/>
      <c r="F829" s="286">
        <v>80000000</v>
      </c>
      <c r="G829" s="285"/>
      <c r="H829" s="287" t="s">
        <v>701</v>
      </c>
      <c r="I829" s="287" t="s">
        <v>768</v>
      </c>
      <c r="J829" s="282">
        <v>1</v>
      </c>
      <c r="K829" s="282">
        <v>2</v>
      </c>
      <c r="L829" s="282">
        <v>3</v>
      </c>
      <c r="M829" s="288">
        <v>1</v>
      </c>
      <c r="N829" s="279" t="s">
        <v>61</v>
      </c>
      <c r="O829" s="280" t="s">
        <v>902</v>
      </c>
      <c r="P829" s="289">
        <v>1</v>
      </c>
      <c r="Q829" s="290">
        <f t="shared" ref="Q829" si="201">+E829+F829+G829</f>
        <v>80000000</v>
      </c>
      <c r="R829" s="290">
        <f t="shared" ref="R829" si="202">+F829</f>
        <v>80000000</v>
      </c>
      <c r="S829" s="291" t="s">
        <v>217</v>
      </c>
      <c r="T829" s="279">
        <v>0</v>
      </c>
      <c r="U829" s="292" t="str">
        <f t="shared" ref="U829" si="203">IF(ISBLANK(N829),"","SUBDIRECCION DE GESTION CONTRACTUAL")</f>
        <v>SUBDIRECCION DE GESTION CONTRACTUAL</v>
      </c>
      <c r="V829" s="288" t="str">
        <f t="shared" ref="V829" si="204">IF(ISBLANK(N829),"","CO-DC")</f>
        <v>CO-DC</v>
      </c>
      <c r="W829" s="292" t="str">
        <f t="shared" ref="W829" si="205">IF(ISBLANK(N829),"","Distrito Capital de Bogotá")</f>
        <v>Distrito Capital de Bogotá</v>
      </c>
      <c r="X829" s="293" t="s">
        <v>321</v>
      </c>
      <c r="Y829" s="288">
        <v>2427400</v>
      </c>
      <c r="Z829" s="294" t="s">
        <v>75</v>
      </c>
    </row>
    <row r="832" spans="1:26" ht="15" customHeight="1" x14ac:dyDescent="0.2">
      <c r="I832" s="124"/>
    </row>
    <row r="833" spans="6:9" ht="15" customHeight="1" x14ac:dyDescent="0.2">
      <c r="H833" s="123"/>
      <c r="I833" s="124"/>
    </row>
    <row r="834" spans="6:9" ht="15" customHeight="1" x14ac:dyDescent="0.2">
      <c r="I834" s="124"/>
    </row>
    <row r="835" spans="6:9" ht="15" customHeight="1" x14ac:dyDescent="0.2">
      <c r="I835" s="124"/>
    </row>
    <row r="836" spans="6:9" ht="15" customHeight="1" x14ac:dyDescent="0.2">
      <c r="I836" s="124"/>
    </row>
    <row r="838" spans="6:9" ht="15" customHeight="1" x14ac:dyDescent="0.2">
      <c r="F838" s="137"/>
    </row>
  </sheetData>
  <sheetProtection insertRows="0" selectLockedCells="1"/>
  <autoFilter ref="A5:Z829" xr:uid="{00000000-0001-0000-0100-000000000000}">
    <filterColumn colId="4" showButton="0"/>
    <filterColumn colId="5" showButton="0"/>
    <sortState xmlns:xlrd2="http://schemas.microsoft.com/office/spreadsheetml/2017/richdata2" ref="A13:Z828">
      <sortCondition ref="A5:A829"/>
    </sortState>
  </autoFilter>
  <mergeCells count="24">
    <mergeCell ref="Z5:Z6"/>
    <mergeCell ref="O5:O6"/>
    <mergeCell ref="P5:P6"/>
    <mergeCell ref="Q5:Q6"/>
    <mergeCell ref="R5:R6"/>
    <mergeCell ref="S5:S6"/>
    <mergeCell ref="T5:T6"/>
    <mergeCell ref="U5:U6"/>
    <mergeCell ref="V5:V6"/>
    <mergeCell ref="W5:W6"/>
    <mergeCell ref="X5:X6"/>
    <mergeCell ref="Y5:Y6"/>
    <mergeCell ref="N5:N6"/>
    <mergeCell ref="A5:A6"/>
    <mergeCell ref="B5:B6"/>
    <mergeCell ref="C5:C6"/>
    <mergeCell ref="D5:D6"/>
    <mergeCell ref="E5:G5"/>
    <mergeCell ref="H5:H6"/>
    <mergeCell ref="I5:I6"/>
    <mergeCell ref="J5:J6"/>
    <mergeCell ref="K5:K6"/>
    <mergeCell ref="L5:L6"/>
    <mergeCell ref="M5:M6"/>
  </mergeCells>
  <dataValidations count="5">
    <dataValidation allowBlank="1" showErrorMessage="1" sqref="V561 V564:V1048576 V7:V550" xr:uid="{D9BD2240-0AA4-4873-AD1E-0FD1E8546745}"/>
    <dataValidation type="whole" operator="greaterThanOrEqual" allowBlank="1" showInputMessage="1" showErrorMessage="1" sqref="E28:E44 E500:G541 F187:F242 G187:G258 E186:E258 E259:G348 F186:G186 E84:G93 G349 E565:G731 E353:E373 F35:G44 F355:F360 F33 E34:G34 F732:F759 G353:G373 F362:F373 Q351:R352 E350:G352 F543:F547 F245:F258 E561:G561 F27:F31 E45:G81 E7:F26 G7:G33 E807:G818 F838 G819:G829 G732:G806 E760:E806 E819:E829 E374:G498 E99:G185" xr:uid="{9D85510E-15BC-4F4A-B4E8-106DFFD7B8CA}">
      <formula1>0</formula1>
    </dataValidation>
    <dataValidation type="whole" allowBlank="1" showInputMessage="1" showErrorMessage="1" sqref="L7:L23 L333:L342 L251 L257:L274 L500:L514 L315:L319 M819:M829 L276:L278 L280:L288 L303:L307 L296:L301 L309:L313 L331 L525:L532 L516:L523 L25:L91 L290:L294 L564:L661 L663:L689 L321:L329 L497:L498 L97:L99 L101:L103 L344:L361 L106:L145 L426:L464 L466:L495 L561 K126 K128 K142:K144 L691:L728 L730:L829 M732:M806 L182:L244 L534:L542 L553 K136:K138 K132 K134 L147:L180 L363:L424" xr:uid="{CFCE1EE5-FBDD-4907-B864-A570FB4102A5}">
      <formula1>1</formula1>
      <formula2>24</formula2>
    </dataValidation>
    <dataValidation type="whole" allowBlank="1" showDropDown="1" showInputMessage="1" showErrorMessage="1" sqref="K437:K438 J83:K91 J259:K274 J251:K251 J182:K195 J691:K728 J315:K319 J166:K180 J331:K342 J525:K532 J276:K278 L100 J280:K288 J303:K307 J296:K301 J309:K313 J437:J442 J127:K127 J730:K829 J516:K523 J290:K294 J663:K689 J25:K60 J426:K436 J145:K145 J142:J144 J321:K329 J363:K424 J162:J165 J497:K498 J97:K103 J500:K514 J344:K361 J443:K495 J139:K141 J561:K561 J126 J106:K125 J128 J82 J129:K131 J135:K135 J639 J564:K638 J640:K661 J243:K244 J257:K257 J258 J196:J197 J198:K199 J200 J242 J205 J206:K206 J207 J208:K210 J211 J201:K204 J218:J220 J212:K217 J229:J230 J231:K235 J236:J238 J239:K241 J221:K228 J7:K23 J61:J62 J63:K65 J66:J69 J70:K71 J72 J73:K73 J74:J75 J76:K76 J77 J78:K79 J80 J81:K81 J534:K542 J553:K553 J132 J133:K133 J134 J136:J138 J147:K161 K165" xr:uid="{D662A41C-6698-4CC2-84CC-619DC6345832}">
      <formula1>1</formula1>
      <formula2>12</formula2>
    </dataValidation>
    <dataValidation allowBlank="1" showDropDown="1" showInputMessage="1" showErrorMessage="1" sqref="K61:K62 K66:K69 K72 K74:K75 K77 K80 K82" xr:uid="{B43C89B5-3E04-4D98-888E-2C53BC7A45B1}"/>
  </dataValidations>
  <hyperlinks>
    <hyperlink ref="Z59" r:id="rId1" xr:uid="{76006292-2AB0-46DC-8224-1FB98B4910E5}"/>
    <hyperlink ref="Z92" r:id="rId2" xr:uid="{0F884ED8-8699-4977-8C1F-D390C0D225A0}"/>
    <hyperlink ref="Z94" r:id="rId3" xr:uid="{F7170A64-F5C4-4459-9C04-4D7D20E25397}"/>
    <hyperlink ref="Z95" r:id="rId4" xr:uid="{FD2D1B14-929B-464D-9109-4CBD9E5BF9BA}"/>
    <hyperlink ref="Z58" r:id="rId5" xr:uid="{9E9E29E0-F61C-4660-A8BD-36E9EF0AEECD}"/>
    <hyperlink ref="Z359" r:id="rId6" xr:uid="{36860396-EB56-4E6A-9B23-CC3B1C929E48}"/>
    <hyperlink ref="Z354:Z358" r:id="rId7" display="yuly.manosalva@mininterior.gov.co" xr:uid="{02599400-03FA-4FB6-B9EC-FEE434A8BC12}"/>
    <hyperlink ref="Z366" r:id="rId8" xr:uid="{25F56525-310F-46F9-A594-617568FF37F6}"/>
    <hyperlink ref="Z367" r:id="rId9" xr:uid="{886DCF1E-AF8F-43DB-8526-244090F7232D}"/>
    <hyperlink ref="Z370" r:id="rId10" xr:uid="{3835D477-9C6E-4232-BE94-6FAFE0805639}"/>
    <hyperlink ref="Z371" r:id="rId11" xr:uid="{84502D7C-E2DF-4E22-A5C7-21D73CBFE46C}"/>
    <hyperlink ref="Z372" r:id="rId12" xr:uid="{06FE0D5F-DBF1-4DFA-BC8C-B4D5911078E9}"/>
    <hyperlink ref="Z373" r:id="rId13" xr:uid="{776895E6-6D25-4E72-B6B7-5BC086696949}"/>
    <hyperlink ref="Z374" r:id="rId14" xr:uid="{022679B1-4D6D-47E5-972A-26A96E403E55}"/>
    <hyperlink ref="Z376" r:id="rId15" xr:uid="{0FD801E1-8820-439A-B0C6-1633CB21E6FE}"/>
    <hyperlink ref="Z377" r:id="rId16" xr:uid="{A8B4061C-C059-442A-BFDA-9722EFD3E585}"/>
    <hyperlink ref="Z388" r:id="rId17" xr:uid="{A8F226F8-F3B0-4D03-A14E-552FEAC9F815}"/>
    <hyperlink ref="Z588" r:id="rId18" xr:uid="{5B8FFC6D-6317-47AC-BD18-E86AD127F5F2}"/>
    <hyperlink ref="Z655" r:id="rId19" xr:uid="{890D47E1-05BD-4099-9745-88928F8AAD79}"/>
    <hyperlink ref="Z656" r:id="rId20" xr:uid="{D27B0A3B-6181-49EE-A6D3-F6C95809C558}"/>
    <hyperlink ref="Z657" r:id="rId21" xr:uid="{E698554F-3842-491C-A11B-85C8A6663983}"/>
    <hyperlink ref="Z658" r:id="rId22" xr:uid="{92DE8BFA-FDFC-4FF3-95B7-6616FFADC002}"/>
    <hyperlink ref="Z659" r:id="rId23" xr:uid="{2344CF37-8B34-437E-B61E-7BFA9DCCE2F2}"/>
    <hyperlink ref="Z660" r:id="rId24" xr:uid="{D26D8DAF-5115-4585-BD97-69E74B41D5F0}"/>
    <hyperlink ref="Z661" r:id="rId25" xr:uid="{B46A9771-430D-4557-90F4-CA4B5F40508A}"/>
    <hyperlink ref="Z662" r:id="rId26" xr:uid="{27614312-569B-460F-880C-3475BEFDA8F8}"/>
    <hyperlink ref="Z663" r:id="rId27" xr:uid="{EDF1A877-6E21-4FAB-86ED-A6DB9442BC92}"/>
    <hyperlink ref="Z664" r:id="rId28" xr:uid="{EE556D27-36FE-4833-B2D1-F9EB910A68F6}"/>
    <hyperlink ref="Z665" r:id="rId29" xr:uid="{6C16622A-88EF-4CC5-9185-BF4CE9DD384B}"/>
    <hyperlink ref="Z666" r:id="rId30" xr:uid="{F6550A90-D57E-4E17-9DB6-678396BBEB0F}"/>
    <hyperlink ref="Z667" r:id="rId31" xr:uid="{C95DA12F-A11C-4B5B-8B33-ECB6E222E000}"/>
    <hyperlink ref="Z668" r:id="rId32" xr:uid="{7E58B801-99A7-4ED5-BB5E-BAB9D2F9E6D6}"/>
    <hyperlink ref="Z669" r:id="rId33" xr:uid="{A7F56F75-281C-4D69-9B62-7B5FB762813A}"/>
    <hyperlink ref="Z670" r:id="rId34" xr:uid="{29805904-C2E1-4F43-A053-488044E5DB5C}"/>
    <hyperlink ref="Z671" r:id="rId35" xr:uid="{05A6B752-27CA-4D77-B473-437818F798C3}"/>
    <hyperlink ref="Z672" r:id="rId36" xr:uid="{3AC57CE0-1F35-4447-99A0-7A3422C8DB6C}"/>
    <hyperlink ref="Z673" r:id="rId37" xr:uid="{BD8FD80A-5463-44FA-AC0E-BD4EF32BA7E7}"/>
    <hyperlink ref="Z674" r:id="rId38" xr:uid="{A5C6ACA3-EB4E-4E1D-B85C-568A1C5A8E83}"/>
    <hyperlink ref="Z675" r:id="rId39" xr:uid="{5E8845F8-7E79-43B9-8411-8441AA5FDAB5}"/>
    <hyperlink ref="Z676" r:id="rId40" xr:uid="{94E6E513-0D61-4BFF-BC5C-E85A29082320}"/>
    <hyperlink ref="Z677" r:id="rId41" xr:uid="{724DCEFA-D8C2-4EF3-8C7C-F6B0B29411BC}"/>
    <hyperlink ref="Z678" r:id="rId42" xr:uid="{484FC124-09AD-4199-9FE0-FA1841E5055E}"/>
    <hyperlink ref="Z679" r:id="rId43" xr:uid="{A8B99952-A3F8-4785-9EF1-92581A7B296E}"/>
    <hyperlink ref="Z680" r:id="rId44" xr:uid="{09352B00-D965-4A7B-8854-55237F5D5EF9}"/>
    <hyperlink ref="Z681" r:id="rId45" xr:uid="{A478A985-E47B-44C8-A89C-6E9DC2594664}"/>
    <hyperlink ref="Z682" r:id="rId46" xr:uid="{A2A289BC-56C4-43FB-8A27-BFD6F15C8A82}"/>
    <hyperlink ref="Z683" r:id="rId47" xr:uid="{0EF02968-E6D5-48DE-813B-5A8B9C54830B}"/>
    <hyperlink ref="Z684" r:id="rId48" xr:uid="{73C96CB5-7140-4779-8ECF-EFFA387F6653}"/>
    <hyperlink ref="Z685" r:id="rId49" xr:uid="{58462025-DC38-45C6-8D69-51DBD8D09A01}"/>
    <hyperlink ref="Z686" r:id="rId50" xr:uid="{6AEB98FE-B5B8-4ADE-B33C-7746A2BF4C57}"/>
    <hyperlink ref="Z687" r:id="rId51" xr:uid="{232A16D2-DD54-4A58-B379-0A4000EDCCF7}"/>
    <hyperlink ref="Z688" r:id="rId52" xr:uid="{1F280747-FA46-4562-BDA3-A6C50711F02F}"/>
    <hyperlink ref="Z689" r:id="rId53" xr:uid="{04136FC4-4972-40AD-8E51-DFD1BDB87729}"/>
    <hyperlink ref="Z690" r:id="rId54" xr:uid="{8DBF8777-0622-490B-A7CB-32B55B2AD511}"/>
    <hyperlink ref="Z691" r:id="rId55" xr:uid="{EDD73ACA-02E1-4C90-8139-9A6693E9C3F2}"/>
    <hyperlink ref="Z692" r:id="rId56" xr:uid="{41E4174F-C3C5-4A3F-B11D-1C6F4C31789F}"/>
    <hyperlink ref="Z693" r:id="rId57" xr:uid="{A82206FE-1111-435F-AD17-209C4FD2E78B}"/>
    <hyperlink ref="Z694" r:id="rId58" xr:uid="{023686F4-7248-4CBB-A032-E0808FCE479C}"/>
    <hyperlink ref="Z695" r:id="rId59" xr:uid="{5D2A97EC-7A67-408D-9BFF-E5B69ED592E6}"/>
    <hyperlink ref="Z696" r:id="rId60" xr:uid="{D792A9D7-5636-410F-90F0-81079845105F}"/>
    <hyperlink ref="Z697" r:id="rId61" xr:uid="{0BC8EDE3-E43D-4C01-B672-8CBAC8F4D1FD}"/>
    <hyperlink ref="Z698" r:id="rId62" xr:uid="{3EAB01BA-16DB-4FB8-8946-0D8BBCC5B6ED}"/>
    <hyperlink ref="Z699" r:id="rId63" xr:uid="{1BBB77D3-87B8-49F9-A334-BC4EECC485CC}"/>
    <hyperlink ref="Z700" r:id="rId64" xr:uid="{98CD9672-8611-4228-8221-F325196DFB5F}"/>
    <hyperlink ref="Z701" r:id="rId65" xr:uid="{BC17720B-145C-4D4F-9F53-5EE727C26C9F}"/>
    <hyperlink ref="Z702" r:id="rId66" xr:uid="{5ADCA7A5-3D18-4ED4-A056-F68520F0ABAA}"/>
    <hyperlink ref="Z703" r:id="rId67" xr:uid="{9C87413D-E483-45F6-8376-5B8E65A336BF}"/>
    <hyperlink ref="Z704" r:id="rId68" xr:uid="{EBB33D8C-FABA-474B-BAEA-E47EAC30A6E8}"/>
    <hyperlink ref="Z705" r:id="rId69" xr:uid="{4AECFCC8-B544-44AA-BBA6-0145D789A82A}"/>
    <hyperlink ref="Z706" r:id="rId70" xr:uid="{D263D9F0-DAEB-441A-8EEF-C462C2AD19EE}"/>
    <hyperlink ref="Z707" r:id="rId71" xr:uid="{4AE60BF7-7FD2-4283-BA79-7AE697D2855F}"/>
    <hyperlink ref="Z708" r:id="rId72" xr:uid="{55952CD4-E571-4BB1-B75B-A0209AA66593}"/>
    <hyperlink ref="Z709" r:id="rId73" xr:uid="{2819AB19-5006-4483-BFF0-1BA5F219D0AE}"/>
    <hyperlink ref="Z710" r:id="rId74" xr:uid="{D60EEC71-A9A4-4C92-BF33-5022D679F0FE}"/>
    <hyperlink ref="Z711" r:id="rId75" xr:uid="{EE126F0C-7F9F-49C9-A7A2-F306801FFCFF}"/>
    <hyperlink ref="Z712" r:id="rId76" xr:uid="{EA8623B7-8AAD-4D80-8BB8-58D1D2713A79}"/>
    <hyperlink ref="Z713" r:id="rId77" xr:uid="{FA329D75-B817-42CC-BC5F-DC27A4AA4281}"/>
    <hyperlink ref="Z714" r:id="rId78" xr:uid="{5C747799-1BD1-4676-8798-674AC1AC5E85}"/>
    <hyperlink ref="Z715" r:id="rId79" xr:uid="{38662587-3A98-4FA1-93C8-0B04C8CE0601}"/>
    <hyperlink ref="Z716" r:id="rId80" xr:uid="{27D720D6-862C-4D2B-AD8F-7B8DFF4E3557}"/>
    <hyperlink ref="Z717" r:id="rId81" xr:uid="{D457BB0A-0CC8-4D4A-9810-8162E527423D}"/>
    <hyperlink ref="Z718" r:id="rId82" xr:uid="{866E943E-C0B2-4281-B348-09F35BA5ABAB}"/>
    <hyperlink ref="Z719" r:id="rId83" xr:uid="{16AE964D-3FEA-4400-AA79-E7EC36A73636}"/>
    <hyperlink ref="Z720" r:id="rId84" xr:uid="{8B5F9515-122A-4D3F-97B6-DDDF7086787D}"/>
    <hyperlink ref="Z721" r:id="rId85" xr:uid="{3A29D73B-ACE9-4A28-B091-0846B75A936A}"/>
    <hyperlink ref="Z722" r:id="rId86" xr:uid="{BEE4AD38-6B19-406A-B56A-D452AE482649}"/>
    <hyperlink ref="Z723" r:id="rId87" xr:uid="{DD676EBE-74D1-45C2-925C-92837969707E}"/>
    <hyperlink ref="Z724" r:id="rId88" xr:uid="{9A3942D3-21ED-4BED-882B-183B961A9D8D}"/>
    <hyperlink ref="Z725" r:id="rId89" xr:uid="{F06C25EF-3503-4CC3-B80A-0EC3C6449997}"/>
    <hyperlink ref="Z726" r:id="rId90" xr:uid="{5F8CF54D-5257-44F7-AD9D-6B5C5799C209}"/>
    <hyperlink ref="Z727" r:id="rId91" xr:uid="{54BD8871-B6E7-41AF-8CBA-431690710225}"/>
    <hyperlink ref="Z728" r:id="rId92" xr:uid="{15492792-8BA9-4D43-A729-B0541C3CCE17}"/>
    <hyperlink ref="Z729" r:id="rId93" xr:uid="{8B87286F-953F-4926-A28B-D991CF70E9A0}"/>
    <hyperlink ref="Z730" r:id="rId94" xr:uid="{9D0683F2-5EE6-4E56-A47D-FD73A5F6D67F}"/>
    <hyperlink ref="Z731" r:id="rId95" xr:uid="{C2404DAE-9604-4D5D-B383-225C2CB6FB95}"/>
    <hyperlink ref="Z732" r:id="rId96" xr:uid="{33B9513F-B312-4887-96DD-CDA1B6CB4286}"/>
    <hyperlink ref="Z733" r:id="rId97" xr:uid="{C6D91452-073D-4270-A2C3-403968E661A4}"/>
    <hyperlink ref="Z734" r:id="rId98" xr:uid="{0E433CF8-F5FD-476E-8AE7-6193D5ACE37B}"/>
    <hyperlink ref="Z735" r:id="rId99" xr:uid="{CF15C169-A814-4E3E-82D6-119AEA1681FA}"/>
    <hyperlink ref="Z736" r:id="rId100" xr:uid="{74174DF0-FB09-4AF9-8771-241A4C97B880}"/>
    <hyperlink ref="Z737" r:id="rId101" xr:uid="{3E9EE930-48B2-40E0-BC49-B2FE4541EF0E}"/>
    <hyperlink ref="Z738" r:id="rId102" xr:uid="{3694FF72-5B17-42D0-AD2B-2D998250A205}"/>
    <hyperlink ref="Z739" r:id="rId103" xr:uid="{D3447536-3B60-4857-AC96-6A912494953D}"/>
    <hyperlink ref="Z740" r:id="rId104" xr:uid="{946390A3-E8CA-407B-A3D1-DB6D2BFF8D35}"/>
    <hyperlink ref="Z741" r:id="rId105" xr:uid="{0D20C12E-A036-4095-A93C-77017FD1CAB6}"/>
    <hyperlink ref="Z742" r:id="rId106" xr:uid="{E827706A-10C9-41AF-B81F-1D15867F7F3C}"/>
    <hyperlink ref="Z743" r:id="rId107" xr:uid="{2C7921BD-F854-45C3-9856-BE2560E0D20A}"/>
    <hyperlink ref="Z744" r:id="rId108" xr:uid="{D87A96E4-E4E5-4969-A357-C1D10046D29F}"/>
    <hyperlink ref="Z745" r:id="rId109" xr:uid="{CDE69F15-09B6-4F2D-BEBE-C04CF5953313}"/>
    <hyperlink ref="Z746" r:id="rId110" xr:uid="{87CB4A4D-04F9-4F37-A806-61A28E6C8495}"/>
    <hyperlink ref="Z771" r:id="rId111" xr:uid="{0E67A875-4F4B-4FB4-9B45-79E7D09EEEA8}"/>
    <hyperlink ref="Z772" r:id="rId112" xr:uid="{CB61EBAD-9F19-4BAC-9505-E50C6D182C20}"/>
    <hyperlink ref="Z773" r:id="rId113" xr:uid="{021AAD87-964F-48B7-9AEC-9135C6EE1C12}"/>
    <hyperlink ref="Z774" r:id="rId114" xr:uid="{C123709D-BD74-4712-9838-FC7FC95910BF}"/>
    <hyperlink ref="Z751" r:id="rId115" xr:uid="{E678948F-8B47-4D87-8E52-1678BDBF014A}"/>
    <hyperlink ref="Z752" r:id="rId116" xr:uid="{3431DBA5-DBE9-4638-B7D1-69CC60C9F9BA}"/>
    <hyperlink ref="Z753" r:id="rId117" xr:uid="{253466D9-1B23-4BFD-9FBD-A3FF7158129D}"/>
    <hyperlink ref="Z754" r:id="rId118" xr:uid="{8234DE82-BCE4-4A4B-A1C9-555EC57A0851}"/>
    <hyperlink ref="Z755" r:id="rId119" xr:uid="{DDC47FC2-2B58-44D3-A6E7-068E6254E2EC}"/>
    <hyperlink ref="Z756" r:id="rId120" xr:uid="{E864512F-910A-4737-AAF0-099E59CAC90A}"/>
    <hyperlink ref="Z757" r:id="rId121" xr:uid="{204F6853-2AC5-41AB-86A1-22051D809C2C}"/>
    <hyperlink ref="Z758" r:id="rId122" xr:uid="{6419CEA4-5709-4163-B3AE-B0477CD93533}"/>
    <hyperlink ref="Z759" r:id="rId123" xr:uid="{5FA886BF-A971-4419-9C68-2C50F6B523A2}"/>
    <hyperlink ref="Z760" r:id="rId124" xr:uid="{393C73B7-E766-4C7A-B9F3-D25502EBC9FE}"/>
    <hyperlink ref="Z761" r:id="rId125" xr:uid="{FBDA71C3-9E5D-419C-A53E-B39BC0041EDF}"/>
    <hyperlink ref="Z762" r:id="rId126" xr:uid="{DF7D88CB-1B47-4186-A4CE-6085B6520E56}"/>
    <hyperlink ref="Z763" r:id="rId127" xr:uid="{659B9553-4317-4F86-86C8-BA3C20B72B80}"/>
    <hyperlink ref="Z764" r:id="rId128" xr:uid="{77D6D82B-438F-4E7C-A41C-3D1DD44047CC}"/>
    <hyperlink ref="Z765" r:id="rId129" xr:uid="{21BC5186-EDDB-4862-B216-7A9149B8F5CC}"/>
    <hyperlink ref="Z766" r:id="rId130" xr:uid="{C82C10CF-E36A-4761-8876-F644882D71D9}"/>
    <hyperlink ref="Z767" r:id="rId131" xr:uid="{1D7DE92F-7E4F-45BB-AA46-939103A0BC41}"/>
    <hyperlink ref="Z768" r:id="rId132" xr:uid="{24FC44CB-7EF5-44F2-9D3E-985AEAAFF7F1}"/>
    <hyperlink ref="Z769" r:id="rId133" xr:uid="{04EA7CA6-EB03-4DC9-9E8F-75AD6C477CDE}"/>
    <hyperlink ref="Z770" r:id="rId134" xr:uid="{C4654B4B-BF06-4817-8CA0-2411B39E4538}"/>
    <hyperlink ref="Z747" r:id="rId135" xr:uid="{57F9FC8D-2D08-487C-87FC-715435149AC9}"/>
    <hyperlink ref="Z775" r:id="rId136" xr:uid="{2D61EDB3-44E9-4ACF-8528-C8CAC0633DC4}"/>
    <hyperlink ref="Z748" r:id="rId137" xr:uid="{281C83B0-D6E9-42D4-BD5E-02FF8587F54B}"/>
    <hyperlink ref="Z749" r:id="rId138" xr:uid="{55337A84-A7CA-4C51-B614-1BDEA39DD3C1}"/>
    <hyperlink ref="Z750" r:id="rId139" xr:uid="{3A7C6737-A652-45B0-ACB2-B6C52E1B4CB2}"/>
    <hyperlink ref="Z189" r:id="rId140" xr:uid="{EAE45C29-BD22-475E-A3F7-1C391F2A5977}"/>
    <hyperlink ref="Z328" r:id="rId141" xr:uid="{2C921D1F-CA9C-49C8-BB29-423C97DF69EF}"/>
    <hyperlink ref="Z365" r:id="rId142" xr:uid="{6ECB82E4-2E30-4B86-AE0F-64A1B6B48F9F}"/>
    <hyperlink ref="Z386" r:id="rId143" xr:uid="{B5C06FC1-8620-40E0-AA6D-A30D154FB143}"/>
    <hyperlink ref="Z499" r:id="rId144" xr:uid="{A6239312-D288-410D-A543-A9929CE9635B}"/>
    <hyperlink ref="Z30" r:id="rId145" xr:uid="{5D571B47-26A6-4BEF-B0C9-720AF983D0BC}"/>
    <hyperlink ref="Z828" r:id="rId146" xr:uid="{9A17652C-A656-41B8-A2D8-E6EFDA86D953}"/>
    <hyperlink ref="Z405" r:id="rId147" xr:uid="{1A3BD2B2-927B-43F0-BF5C-6F7934E32F18}"/>
    <hyperlink ref="Z433" r:id="rId148" xr:uid="{5316A40D-F790-4908-9E93-0B3D04E46A99}"/>
    <hyperlink ref="Z406" r:id="rId149" xr:uid="{7CB92A49-F964-42AC-BE98-07ACC2B0E767}"/>
    <hyperlink ref="Z407" r:id="rId150" xr:uid="{92FB55AE-C0D5-41DC-9E94-E7118DF6F5B5}"/>
    <hyperlink ref="Z408" r:id="rId151" xr:uid="{FD87A641-27C2-4840-BE5F-29BE6CFC82C2}"/>
    <hyperlink ref="Z409" r:id="rId152" xr:uid="{34A1E3EC-596D-437B-9919-F2DD1628488D}"/>
    <hyperlink ref="Z410" r:id="rId153" xr:uid="{A365FA24-83F0-424A-BCA0-B3C1C99D0102}"/>
    <hyperlink ref="Z411" r:id="rId154" xr:uid="{8B7FFA2C-2DC1-4960-9EC5-B9DE1B5B847A}"/>
    <hyperlink ref="Z412" r:id="rId155" xr:uid="{4B66F020-9DA0-4361-9FCC-23C6101AC1CB}"/>
    <hyperlink ref="Z413" r:id="rId156" xr:uid="{B592E2FE-FDCE-49A1-B740-23910AE26AB4}"/>
    <hyperlink ref="Z414" r:id="rId157" xr:uid="{97EE0B4C-B76A-427C-A8C8-FE1FF2946814}"/>
    <hyperlink ref="Z415" r:id="rId158" xr:uid="{28F5162D-68DE-4B48-B3FD-FB3226345FD9}"/>
    <hyperlink ref="Z416" r:id="rId159" xr:uid="{A5DCEDE8-CD5D-48FF-9974-45EA3CA18728}"/>
    <hyperlink ref="Z417" r:id="rId160" xr:uid="{3A1DC6B2-B1DF-4B5D-A422-75A044E354E9}"/>
    <hyperlink ref="Z418" r:id="rId161" xr:uid="{BDCC4B58-DF30-45FE-9FEF-B2C318839E9B}"/>
    <hyperlink ref="Z419" r:id="rId162" xr:uid="{4E03BC76-5F3B-443A-AE35-E775E6E902D3}"/>
    <hyperlink ref="Z420" r:id="rId163" xr:uid="{2475690A-07F6-40E0-A8FC-AF110780C26C}"/>
    <hyperlink ref="Z421" r:id="rId164" xr:uid="{A37EBE5C-896E-415B-A72F-90FFD2A216F1}"/>
    <hyperlink ref="Z422" r:id="rId165" xr:uid="{6D4A0D9E-C0F3-4578-9351-B77E6F1A3B4F}"/>
    <hyperlink ref="Z423" r:id="rId166" xr:uid="{2D362159-237D-4537-81F3-2A64F6E1CC4F}"/>
    <hyperlink ref="Z424" r:id="rId167" xr:uid="{969B3702-C422-42F8-96C6-812A4337EA77}"/>
    <hyperlink ref="Z425" r:id="rId168" xr:uid="{2E702542-F7BA-433B-966F-D498E3C659E2}"/>
    <hyperlink ref="Z426" r:id="rId169" xr:uid="{E528F53D-306A-4212-9A88-49F913BE1BAC}"/>
    <hyperlink ref="Z427" r:id="rId170" xr:uid="{D27DB624-25BC-4E84-B8B7-4D0519D32204}"/>
    <hyperlink ref="Z428" r:id="rId171" xr:uid="{713B0AF6-CB53-447C-BFCA-A9F625B739D6}"/>
    <hyperlink ref="Z429" r:id="rId172" xr:uid="{FE0CA7CA-75F4-4DCA-ABC0-772F7CD0BE7E}"/>
    <hyperlink ref="Z430" r:id="rId173" xr:uid="{2C2E5717-6CA3-4E4C-BAC9-261272092B34}"/>
    <hyperlink ref="Z431" r:id="rId174" xr:uid="{BEC11111-276E-4640-809B-BA78E90E05CE}"/>
    <hyperlink ref="Z432" r:id="rId175" xr:uid="{59BF2D70-F783-4FAD-9BD4-52CB8EC4BBBD}"/>
    <hyperlink ref="Z434" r:id="rId176" xr:uid="{DA159766-6D68-46C7-94C3-0BB67826A125}"/>
    <hyperlink ref="Z435" r:id="rId177" xr:uid="{6B4FCEE7-D606-409E-ABFC-C40AB1FD099A}"/>
    <hyperlink ref="Z436" r:id="rId178" xr:uid="{3886850A-AA3E-4109-B8A9-5A4797B2EEDF}"/>
    <hyperlink ref="Z437" r:id="rId179" xr:uid="{1C0F4824-E1F2-45BE-BA9F-C17E498CCA17}"/>
    <hyperlink ref="Z438" r:id="rId180" xr:uid="{1303DC5E-D429-4F25-BD5B-89382E0D8B7C}"/>
    <hyperlink ref="Z439" r:id="rId181" xr:uid="{D258C974-B77F-47EB-BADE-70CAB59098D8}"/>
    <hyperlink ref="Z440" r:id="rId182" xr:uid="{04F80ECF-12CD-4899-A68E-8CA948D4F850}"/>
    <hyperlink ref="Z441" r:id="rId183" xr:uid="{84747954-F03C-4AC2-8F3D-D69495023EF9}"/>
    <hyperlink ref="Z442" r:id="rId184" xr:uid="{18319269-C7CD-4F67-B51E-7CE4CFF88C20}"/>
    <hyperlink ref="Z443" r:id="rId185" xr:uid="{D646D2FE-ADF3-4D4D-9183-0387E73EC792}"/>
    <hyperlink ref="Z444" r:id="rId186" xr:uid="{CAAD6586-DC6D-42FB-9421-63F2B99552E2}"/>
    <hyperlink ref="Z445" r:id="rId187" xr:uid="{5547BD2C-988C-4C31-9D8B-14528E1BEEED}"/>
    <hyperlink ref="Z446" r:id="rId188" xr:uid="{5B4F7641-3ECD-4691-8993-8F87510D82D8}"/>
    <hyperlink ref="Z447" r:id="rId189" xr:uid="{A5594140-D773-4879-837A-B947E9E85D2A}"/>
    <hyperlink ref="Z448" r:id="rId190" xr:uid="{F7986D22-8FAE-4DAD-AB29-8DA2FEF96148}"/>
    <hyperlink ref="Z449" r:id="rId191" xr:uid="{D316DE29-2437-41A9-826B-5A1D1926C4E0}"/>
    <hyperlink ref="Z450" r:id="rId192" xr:uid="{4756C158-907E-4F6F-84A7-2C06C286E9AB}"/>
    <hyperlink ref="Z451" r:id="rId193" xr:uid="{81E7976E-1EFA-4EA3-8DC4-0B8D67DA3010}"/>
    <hyperlink ref="Z452" r:id="rId194" xr:uid="{7CE775B1-26C9-4DDC-B78E-2286F035F1AF}"/>
    <hyperlink ref="Z453" r:id="rId195" xr:uid="{2F6B36F8-8984-48C1-B482-E3860D120A36}"/>
    <hyperlink ref="Z454" r:id="rId196" xr:uid="{38FA0DD6-B47B-4994-B282-043A3CD72412}"/>
    <hyperlink ref="Z455" r:id="rId197" xr:uid="{8FDE282A-D9BD-43CC-88B6-F1CE3007CE06}"/>
    <hyperlink ref="Z456" r:id="rId198" xr:uid="{45AFE282-1126-4030-A50E-64FD6ED340F8}"/>
    <hyperlink ref="Z457" r:id="rId199" xr:uid="{43FD686D-B91A-4BA1-8D05-7F3939E8A598}"/>
    <hyperlink ref="Z458" r:id="rId200" xr:uid="{BD803FCE-F163-4706-8812-1505C333BB2F}"/>
    <hyperlink ref="Z459" r:id="rId201" xr:uid="{0D6BE869-90BE-4A59-8E0D-5A8957C1398B}"/>
    <hyperlink ref="Z460" r:id="rId202" xr:uid="{0D2B51FD-0AAB-4913-89E3-D3EB81CB59C9}"/>
    <hyperlink ref="Z461" r:id="rId203" xr:uid="{F56B38E7-8E20-4639-994F-F6C6344B53DE}"/>
    <hyperlink ref="Z462" r:id="rId204" xr:uid="{81A1D832-D7C4-4A6E-8792-94AE821A258E}"/>
    <hyperlink ref="Z463" r:id="rId205" xr:uid="{822735FE-CACB-4D70-A929-BF6975218806}"/>
    <hyperlink ref="Z464" r:id="rId206" xr:uid="{7EFEC41B-7E2E-47E8-BAAF-D98469B65C8D}"/>
    <hyperlink ref="Z379" r:id="rId207" xr:uid="{0D0AEF43-342A-4615-81FC-47639BA1B006}"/>
    <hyperlink ref="Z378" r:id="rId208" xr:uid="{3868DFD3-81B1-4722-A0C8-FBE3D14C8AD3}"/>
    <hyperlink ref="Z776" r:id="rId209" xr:uid="{A7EC0B79-23AE-461B-A50D-42FD6BDF86A8}"/>
    <hyperlink ref="Z777" r:id="rId210" xr:uid="{F25EE53F-2B6E-47A3-8EEA-394C1CDAB79D}"/>
    <hyperlink ref="Z191" r:id="rId211" xr:uid="{278282CC-634B-4AA3-B481-3F6668B3C6EC}"/>
    <hyperlink ref="Z829" r:id="rId212" xr:uid="{F3A86B48-DFAB-43D2-A991-F3FEA2B5B117}"/>
    <hyperlink ref="Z40" r:id="rId213" xr:uid="{315169F7-8AFD-41C4-A3EF-E71281642FF0}"/>
    <hyperlink ref="Z778" r:id="rId214" xr:uid="{66FD8BC6-204A-4AFC-9ED8-ED796E9D4D54}"/>
    <hyperlink ref="Z24" r:id="rId215" xr:uid="{D81998A1-A705-4663-B338-BFA774437BE6}"/>
    <hyperlink ref="Z356" r:id="rId216" xr:uid="{8653DD64-49FA-4699-AC6E-AA6936FB1AA8}"/>
    <hyperlink ref="Z51" r:id="rId217" xr:uid="{C35E653A-E951-45B3-B288-6A4B88134F3B}"/>
    <hyperlink ref="Z490" r:id="rId218" xr:uid="{1C5C297C-BFE4-43F5-AFF9-3C94F4388CB7}"/>
    <hyperlink ref="Z465" r:id="rId219" xr:uid="{70EE8FC1-F47F-44EC-8BA7-5C6B364B7CDF}"/>
    <hyperlink ref="Z467" r:id="rId220" xr:uid="{2E61B19E-E24E-4F5D-A6F6-C7AC40509738}"/>
    <hyperlink ref="Z469" r:id="rId221" xr:uid="{98A3B8CC-563D-46B0-9EFF-3FC06A6EC5D9}"/>
    <hyperlink ref="Z471" r:id="rId222" xr:uid="{BC4CE2C5-CD52-494F-A766-5681F9B36691}"/>
    <hyperlink ref="Z473" r:id="rId223" xr:uid="{426330A8-2561-482D-9BB6-D4C8FFD0A83F}"/>
    <hyperlink ref="Z475" r:id="rId224" xr:uid="{6893A1F5-A80B-49DC-90C9-10942D8AC8B7}"/>
    <hyperlink ref="Z477" r:id="rId225" xr:uid="{4C5DF9EF-B8FA-4581-9B9F-778A973EBDC6}"/>
    <hyperlink ref="Z479" r:id="rId226" xr:uid="{23B810B2-CD27-44EB-9E74-ECC9EDAD4CB7}"/>
    <hyperlink ref="Z481" r:id="rId227" xr:uid="{ECAC99BA-BBD2-4A2F-AEB9-50261A603131}"/>
    <hyperlink ref="Z483" r:id="rId228" xr:uid="{A6C39EEF-AC4D-4BB6-BD1F-6C3C5B3CAEF5}"/>
    <hyperlink ref="Z485" r:id="rId229" xr:uid="{27BD0C3E-2AAB-444B-AEAC-50F99178BFA6}"/>
    <hyperlink ref="Z487" r:id="rId230" xr:uid="{3E3FB82E-BF66-442C-9249-2202005D9045}"/>
    <hyperlink ref="Z489" r:id="rId231" xr:uid="{88A902CF-8E8B-4112-9B02-7A74D87DE548}"/>
    <hyperlink ref="Z466" r:id="rId232" xr:uid="{A0443962-E5CF-4F51-B6BC-736F2B7541D6}"/>
    <hyperlink ref="Z468" r:id="rId233" xr:uid="{5D942383-B622-4874-9060-18ABBA454C84}"/>
    <hyperlink ref="Z470" r:id="rId234" xr:uid="{3428DF28-E54A-4096-8F57-0689C11E12C1}"/>
    <hyperlink ref="Z472" r:id="rId235" xr:uid="{42CACC6E-77BD-4A31-B077-E614CD777474}"/>
    <hyperlink ref="Z474" r:id="rId236" xr:uid="{6A20E46B-772D-4F40-BCC4-BF7BE13D7FC3}"/>
    <hyperlink ref="Z476" r:id="rId237" xr:uid="{D6DDE7AC-027F-41EC-95A5-0F7059317AD0}"/>
    <hyperlink ref="Z478" r:id="rId238" xr:uid="{13608EA2-70C4-4B12-8FFA-114AC24090E1}"/>
    <hyperlink ref="Z480" r:id="rId239" xr:uid="{F0C9FD98-79E0-4D95-B2F0-6A9D24E04398}"/>
    <hyperlink ref="Z482" r:id="rId240" xr:uid="{E2723ACD-03A1-40AB-8363-00D508611217}"/>
    <hyperlink ref="Z484" r:id="rId241" xr:uid="{3C9A43B3-2047-4B3F-9CDB-AE757CED6AA0}"/>
    <hyperlink ref="Z486" r:id="rId242" xr:uid="{97EEC06B-25C4-4873-8C3B-D16132BB4AE3}"/>
    <hyperlink ref="Z488" r:id="rId243" xr:uid="{82024CBA-3F28-4191-A2FD-E6A7E5B78256}"/>
    <hyperlink ref="Z779" r:id="rId244" xr:uid="{93D3D044-468A-437F-B3B2-4944275D6BC5}"/>
    <hyperlink ref="Z826" r:id="rId245" xr:uid="{0FC1FA99-8DDD-4CD7-8E72-718E2D2D5AA7}"/>
    <hyperlink ref="Z192" r:id="rId246" xr:uid="{088F00B0-8BAB-464E-B164-743D47776EC9}"/>
    <hyperlink ref="Z508" r:id="rId247" xr:uid="{2FD8DF0A-C737-4D63-BC63-C8BEC2DFEEDF}"/>
    <hyperlink ref="Z521" r:id="rId248" xr:uid="{810B4661-F582-4D3F-8DB0-51DC5CE56CE1}"/>
    <hyperlink ref="Z522" r:id="rId249" xr:uid="{4AF4F0B5-EA4F-41E6-AF91-462F65EFA8E6}"/>
    <hyperlink ref="Z529" r:id="rId250" xr:uid="{108AC38B-940A-4D49-A5E2-A86C323153EB}"/>
    <hyperlink ref="Z530" r:id="rId251" xr:uid="{F2FDBC44-7467-42EF-9248-A5F186DDFF07}"/>
    <hyperlink ref="Z531" r:id="rId252" xr:uid="{08A5F817-A901-438C-B0CF-57A76D84F1CC}"/>
    <hyperlink ref="Z516" r:id="rId253" xr:uid="{56011D14-2D56-4D1E-B4BF-7638FBAB3CD2}"/>
    <hyperlink ref="Z539" r:id="rId254" xr:uid="{BEEEBDC9-F7C1-431B-B87A-A9316A871B58}"/>
    <hyperlink ref="Z535" r:id="rId255" xr:uid="{2002EC0C-A43D-4831-AEAE-3B2C2CB03A06}"/>
    <hyperlink ref="Z536" r:id="rId256" xr:uid="{852C8F9F-6679-49D9-BFF2-2D1E38E165DC}"/>
    <hyperlink ref="Z537" r:id="rId257" xr:uid="{D727DB43-606A-4EBB-BA7C-6EA62832A60D}"/>
    <hyperlink ref="Z538" r:id="rId258" xr:uid="{D97AE2C3-66C2-40D8-A835-B37F7AB87DFE}"/>
    <hyperlink ref="Z540" r:id="rId259" xr:uid="{2CE7E408-58BA-44E6-88D1-F1A5632B77D7}"/>
    <hyperlink ref="Z780" r:id="rId260" xr:uid="{B43AB0D4-50FB-4AF5-AE20-223132B924C9}"/>
    <hyperlink ref="Z781" r:id="rId261" xr:uid="{0712F9DE-FE95-4B56-AE1C-3A28A89E7102}"/>
    <hyperlink ref="Z782" r:id="rId262" xr:uid="{2D0C7E7E-B47B-4D13-B732-FF1B625CC3A4}"/>
    <hyperlink ref="Z783" r:id="rId263" xr:uid="{BFA3DD22-2FAE-42EA-AE85-AC6BD06DFBFC}"/>
    <hyperlink ref="Z784" r:id="rId264" xr:uid="{04C5A80D-06BB-431E-A2B6-B4B55D5086E2}"/>
    <hyperlink ref="Z599" r:id="rId265" xr:uid="{E85B609D-8153-4FBF-8EDB-AB9C6D9CC934}"/>
    <hyperlink ref="Z614" r:id="rId266" xr:uid="{CFBCB4AB-DB4B-4383-B9B7-B09215CCE2E2}"/>
    <hyperlink ref="Z587" r:id="rId267" xr:uid="{49BC2A00-D7E8-4B51-9C1B-E3492BD8C83F}"/>
    <hyperlink ref="Z785" r:id="rId268" xr:uid="{135D7487-EB9C-4890-B1D3-6E9997CBF7BF}"/>
    <hyperlink ref="Z786" r:id="rId269" xr:uid="{12F4CCB5-46B4-4A93-985A-4D740A11BC29}"/>
    <hyperlink ref="Z269" r:id="rId270" display="sandra.contreras@mininterior.gov.co" xr:uid="{D81121A8-9F8A-47F9-BE3A-A36EA8A98550}"/>
    <hyperlink ref="Z533" r:id="rId271" xr:uid="{8387971E-6851-458D-8802-A7FA2DF33FBD}"/>
    <hyperlink ref="Z532" r:id="rId272" xr:uid="{9EE6A5FF-DFC0-485E-B17D-49F119730D86}"/>
    <hyperlink ref="Z787" r:id="rId273" xr:uid="{E77F77C4-EF10-4D67-848A-B2AD62B2F0E6}"/>
    <hyperlink ref="Z788" r:id="rId274" xr:uid="{B5410A20-1317-4266-ABEA-E4B576C3A2CB}"/>
    <hyperlink ref="Z789" r:id="rId275" xr:uid="{7CC18509-AAF5-42CF-9668-83FADC38C5E9}"/>
    <hyperlink ref="Z790" r:id="rId276" xr:uid="{4EBE1A9B-1ECF-453A-8D3A-3F9DE95E0C4A}"/>
    <hyperlink ref="Z791" r:id="rId277" xr:uid="{A038148C-422B-4715-AD76-1277D6D6CEAF}"/>
    <hyperlink ref="Z792" r:id="rId278" xr:uid="{51ECE8CC-5B28-4076-B43C-EBA561D9C489}"/>
    <hyperlink ref="Z793" r:id="rId279" xr:uid="{015CE8CA-7F59-44D2-AF32-FF437A3F8D13}"/>
    <hyperlink ref="Z794" r:id="rId280" xr:uid="{81A2A956-FBA9-4A6B-984B-129C08576020}"/>
    <hyperlink ref="Z795" r:id="rId281" xr:uid="{79BC7CC6-526B-40BF-B89F-C7DB41673522}"/>
    <hyperlink ref="Z150" r:id="rId282" xr:uid="{BE0B3593-479C-427D-9A76-909294848B13}"/>
    <hyperlink ref="Z801" r:id="rId283" xr:uid="{9DE4499D-1AE6-45E2-8E9B-F148F588E65D}"/>
    <hyperlink ref="Z800" r:id="rId284" xr:uid="{F4E0EAAC-927B-4D17-A82E-A32FA8D91C8D}"/>
    <hyperlink ref="Z799" r:id="rId285" xr:uid="{FFE3F43F-AE01-4D7A-878D-B9AB541229D7}"/>
    <hyperlink ref="Z798" r:id="rId286" xr:uid="{3F798FAB-CBA7-4F5F-8794-6DDCD487E682}"/>
    <hyperlink ref="Z797" r:id="rId287" xr:uid="{F468528E-E7EB-40F1-ACBD-100CB867C41E}"/>
    <hyperlink ref="Z796" r:id="rId288" xr:uid="{B78A600D-ECCD-4938-96A0-55F49368500F}"/>
    <hyperlink ref="Z106" r:id="rId289" xr:uid="{CCC639B7-1D02-4163-AC82-97EE2517DED4}"/>
    <hyperlink ref="Z136" r:id="rId290" xr:uid="{DF1D8FC6-2E42-44CE-9C07-508A5F8DE07D}"/>
    <hyperlink ref="Z137" r:id="rId291" xr:uid="{EA9935D6-AC9E-47A5-9E30-AF4984141774}"/>
    <hyperlink ref="Z138" r:id="rId292" xr:uid="{F852AB9A-90B5-4743-BE1E-F8DDE94EEC9C}"/>
    <hyperlink ref="Z139" r:id="rId293" xr:uid="{25E3BD98-A434-4B43-B45E-924CFDB94F63}"/>
    <hyperlink ref="Z140" r:id="rId294" xr:uid="{AA600EB2-5627-4313-9203-A49588180396}"/>
    <hyperlink ref="Z141" r:id="rId295" xr:uid="{E33EE5A5-409B-4FC0-918E-DDAC4DD60304}"/>
    <hyperlink ref="Z142" r:id="rId296" xr:uid="{37DEB721-C7A2-45A7-953B-B052685F1BEC}"/>
    <hyperlink ref="Z143" r:id="rId297" xr:uid="{1F9A18E8-D530-4EAE-8495-F0174E511A63}"/>
    <hyperlink ref="Z144" r:id="rId298" xr:uid="{ABAE6343-E346-4EB4-9DDE-D2CCA2ACD2C1}"/>
    <hyperlink ref="Z145" r:id="rId299" xr:uid="{4DFE1A43-880B-4DC0-BC74-C8534A31E7AD}"/>
    <hyperlink ref="Z146" r:id="rId300" xr:uid="{ACFACF1B-2299-4DA6-A110-E000D4C4E650}"/>
    <hyperlink ref="Z147" r:id="rId301" xr:uid="{42FF3395-039B-4F73-A662-BA77079F66B1}"/>
    <hyperlink ref="Z148" r:id="rId302" xr:uid="{F4765586-1100-4446-BD04-BCAF57D810D2}"/>
    <hyperlink ref="Z149" r:id="rId303" xr:uid="{AD446AE7-523D-4E10-9B6C-9879E95E9225}"/>
    <hyperlink ref="Z151" r:id="rId304" xr:uid="{10A662B6-2B09-42F6-8F7D-E0BDA2A15047}"/>
    <hyperlink ref="Z152" r:id="rId305" xr:uid="{28993516-FD74-4E1B-83EB-B128AAC230E6}"/>
    <hyperlink ref="Z153" r:id="rId306" xr:uid="{EFFF00E9-756F-4D62-A750-B0459AA2E4E7}"/>
    <hyperlink ref="Z154" r:id="rId307" xr:uid="{15099720-176B-44CF-852C-EFA973524953}"/>
    <hyperlink ref="Z155" r:id="rId308" xr:uid="{C857C77A-36AD-420A-9BB1-F6BF4CBF3D22}"/>
    <hyperlink ref="Z156" r:id="rId309" xr:uid="{88813585-9EEC-49E5-AF0C-946F841B7A1E}"/>
    <hyperlink ref="Z802" r:id="rId310" xr:uid="{E3A0A798-1E42-4C18-9215-C9286001C302}"/>
    <hyperlink ref="Z628" r:id="rId311" xr:uid="{C5BADB00-7703-4B51-B3C0-4B52AF9E9E1C}"/>
    <hyperlink ref="Z171" r:id="rId312" xr:uid="{1D2AC146-E1B0-4EEB-B7B8-19195560D789}"/>
    <hyperlink ref="Z803" r:id="rId313" xr:uid="{E6FD1769-E8B3-49F8-8F20-3658F6FD5A53}"/>
    <hyperlink ref="Z57" r:id="rId314" xr:uid="{D68A5231-BDE4-47AF-9496-2A1E01FCF60C}"/>
    <hyperlink ref="Z93" r:id="rId315" xr:uid="{D06B6638-8702-4F53-B311-D328C775943F}"/>
    <hyperlink ref="Z804" r:id="rId316" xr:uid="{FFE69E61-165A-489D-8367-E9C9C0C28837}"/>
    <hyperlink ref="Z639" r:id="rId317" xr:uid="{E3DC1EA4-8C82-41C4-BD5F-07177AABAB94}"/>
    <hyperlink ref="Z380" r:id="rId318" xr:uid="{7324F17D-D394-41F7-910C-8410EF83F15A}"/>
    <hyperlink ref="Z364" r:id="rId319" display="sandra.contreras@mininterior.gov.co" xr:uid="{B4CC65AA-E823-4C38-9D14-390D3E6F6EB1}"/>
    <hyperlink ref="Z196" r:id="rId320" xr:uid="{7687BB5B-5FA8-432F-9BAC-8B719295A5BD}"/>
    <hyperlink ref="Z197" r:id="rId321" xr:uid="{4F1D4D73-4E6A-46FA-AA61-558EA5F1EBD2}"/>
    <hyperlink ref="Z198" r:id="rId322" xr:uid="{BE842233-1ED2-4379-B354-6DC56409B8F7}"/>
    <hyperlink ref="Z210" r:id="rId323" xr:uid="{80BEE369-62A8-4DE0-94FB-2475A5DA37FD}"/>
    <hyperlink ref="Z216" r:id="rId324" xr:uid="{5EA1DBE7-BF88-46EA-8CED-90A384AF4A48}"/>
    <hyperlink ref="Z222" r:id="rId325" xr:uid="{9BF669C9-E0B7-4942-91EF-AFFC1C2D9046}"/>
    <hyperlink ref="Z223" r:id="rId326" xr:uid="{6AFEF026-0A02-42BE-AA6D-C7A4D7DDEDDF}"/>
    <hyperlink ref="Z228" r:id="rId327" xr:uid="{353A0D8E-CB1D-404C-B700-7616AAE185F5}"/>
    <hyperlink ref="Z240" r:id="rId328" xr:uid="{1A3030C7-1F73-4FF3-A231-37509F7C2ED3}"/>
    <hyperlink ref="Z241" r:id="rId329" xr:uid="{2D7FF4E9-F58B-48C1-83C1-2F9BE51AFA72}"/>
    <hyperlink ref="Z199" r:id="rId330" xr:uid="{7FE7C710-9074-4517-828C-AA771FCFB5BD}"/>
    <hyperlink ref="Z194:Z195" r:id="rId331" display="diana.vivas@mininterior.gov.co" xr:uid="{208A795E-1D31-4D90-AAA3-88CD86ED3A82}"/>
    <hyperlink ref="Z209" r:id="rId332" xr:uid="{83F59BDE-DC9F-485F-8C5E-9E47D0D90EDB}"/>
    <hyperlink ref="Z215" r:id="rId333" xr:uid="{7D2936A3-9999-48B2-8ABE-D87FB98DF132}"/>
    <hyperlink ref="Z214:Z215" r:id="rId334" display="diana.vivas@mininterior.gov.co" xr:uid="{C0764F5B-3D2F-4B30-AF92-39A008624FE0}"/>
    <hyperlink ref="Z229" r:id="rId335" xr:uid="{0CBAB131-90BF-4622-AE5C-66DECF017990}"/>
    <hyperlink ref="Z226:Z227" r:id="rId336" display="diana.vivas@mininterior.gov.co" xr:uid="{18C7BBDD-DFB0-4879-BC4C-734BA8B1EED6}"/>
    <hyperlink ref="Z239:Z241" r:id="rId337" display="diana.vivas@mininterior.gov.co" xr:uid="{2AA0C6B1-BA64-428A-A97E-D26FBCF21DF0}"/>
    <hyperlink ref="Z263" r:id="rId338" xr:uid="{F17D786C-CE28-450C-BCAB-88F6B046A605}"/>
    <hyperlink ref="Z501" r:id="rId339" xr:uid="{A53D2490-3E98-4B4B-A7CF-B806C803F387}"/>
    <hyperlink ref="Z640" r:id="rId340" xr:uid="{C494BF52-1EC1-4496-8CC8-9A55A184559C}"/>
    <hyperlink ref="Z641" r:id="rId341" xr:uid="{9BC58416-B85E-4DF9-AE6E-4A4501AEA3E1}"/>
    <hyperlink ref="Z55" r:id="rId342" xr:uid="{F07D5320-1F6C-41C7-817C-E51ED935A72F}"/>
    <hyperlink ref="Z60" r:id="rId343" xr:uid="{1C2F9C77-131A-44B5-A7BB-BCE307C8AA04}"/>
    <hyperlink ref="Z56" r:id="rId344" xr:uid="{FC6E9CD5-B6E0-4B7F-A35F-39300373650D}"/>
    <hyperlink ref="Z61" r:id="rId345" xr:uid="{7A592F1B-5D69-4501-A789-9FAE6635D9E1}"/>
    <hyperlink ref="Z62" r:id="rId346" xr:uid="{02EDB315-287D-46C9-8A6D-20367E40D95C}"/>
    <hyperlink ref="Z63" r:id="rId347" xr:uid="{B4854985-0498-43BE-A095-B35165B28DBC}"/>
    <hyperlink ref="Z64" r:id="rId348" xr:uid="{77470345-917B-4F32-A9FA-17866521EEA0}"/>
    <hyperlink ref="Z65" r:id="rId349" xr:uid="{8CA343BB-7E24-493D-8289-68C6E6D7853E}"/>
    <hyperlink ref="Z66" r:id="rId350" xr:uid="{20F2FD65-18BA-4077-B675-782D48DE7C4A}"/>
    <hyperlink ref="Z68" r:id="rId351" xr:uid="{2BB3E457-EA54-4D4A-AD6E-14E3267D39AB}"/>
    <hyperlink ref="Z69" r:id="rId352" xr:uid="{24DACACE-AEC0-47C8-B947-619340FE5631}"/>
    <hyperlink ref="Z70" r:id="rId353" xr:uid="{631FB307-F694-48AF-8490-B5C259A4D8E6}"/>
    <hyperlink ref="Z71" r:id="rId354" xr:uid="{83260D15-F64B-488D-8028-C2921F206735}"/>
    <hyperlink ref="Z72" r:id="rId355" xr:uid="{E40FC98B-31FA-443F-862A-53CD9C961C7E}"/>
    <hyperlink ref="Z73" r:id="rId356" xr:uid="{9E37F17D-9644-41BC-B992-DD621E1719CA}"/>
    <hyperlink ref="Z75" r:id="rId357" xr:uid="{17665AA9-00DF-4900-B4A8-B773F4F06F73}"/>
    <hyperlink ref="Z74" r:id="rId358" xr:uid="{99CAE590-534A-49A1-8668-5CB423C965C9}"/>
    <hyperlink ref="Z76" r:id="rId359" xr:uid="{57825106-1417-4817-9912-2B750D4F9E65}"/>
    <hyperlink ref="Z77" r:id="rId360" xr:uid="{67765595-3DBE-41A6-AF1C-BA761DE5FC0B}"/>
    <hyperlink ref="Z78" r:id="rId361" xr:uid="{43D7B3E5-A497-4DDA-9EBC-CFBF4F81001E}"/>
    <hyperlink ref="Z79" r:id="rId362" xr:uid="{EE0B34B7-3A88-4801-AC69-DEAF885F82D0}"/>
    <hyperlink ref="Z80" r:id="rId363" xr:uid="{E2B17556-529B-4E32-9683-71C988D26968}"/>
    <hyperlink ref="Z81" r:id="rId364" xr:uid="{188FD2A6-B4C2-4294-80B1-930DD54C150B}"/>
    <hyperlink ref="Z82" r:id="rId365" xr:uid="{BC889311-15B7-4994-8254-CBD4B4E42DB4}"/>
    <hyperlink ref="Z83" r:id="rId366" xr:uid="{A8759D03-921A-4444-95C5-67F2F02790F6}"/>
    <hyperlink ref="Z84" r:id="rId367" xr:uid="{03418DD1-EA50-4918-B4BC-95EF4FA57F6D}"/>
    <hyperlink ref="Z85" r:id="rId368" xr:uid="{BD23D26E-CA2D-4781-8F62-6B7FA37C03F8}"/>
    <hyperlink ref="Z86" r:id="rId369" xr:uid="{A4737824-9CB4-449D-BDBA-B1B9F5FF56BB}"/>
    <hyperlink ref="Z87" r:id="rId370" xr:uid="{116F11D1-A541-4CD0-9B82-B22FE1206A45}"/>
    <hyperlink ref="Z88" r:id="rId371" xr:uid="{A7BA19D8-5F72-4A0E-8B3F-44EC69D809FF}"/>
    <hyperlink ref="Z89" r:id="rId372" xr:uid="{B6F5C2DC-57E1-477B-84A7-F7A3CBE39D60}"/>
    <hyperlink ref="Z90" r:id="rId373" xr:uid="{7C4FD6A6-2190-4B41-89A4-B6CE6263D577}"/>
    <hyperlink ref="Z91" r:id="rId374" xr:uid="{7B62F67D-2059-466E-82A6-F622408B8B10}"/>
    <hyperlink ref="Z97" r:id="rId375" xr:uid="{84CB6294-E533-4FE7-BFC6-1B726F5B4B40}"/>
    <hyperlink ref="Z98" r:id="rId376" xr:uid="{39C8492B-5252-4C11-9A9B-C4EF261F1F02}"/>
    <hyperlink ref="Z99" r:id="rId377" xr:uid="{CE21C900-0F35-41B5-A151-ED289A5CDD72}"/>
    <hyperlink ref="Z100" r:id="rId378" xr:uid="{BDC89CE7-2A9D-4C46-8006-AFA76429A2D9}"/>
    <hyperlink ref="Z101" r:id="rId379" xr:uid="{592458F2-0149-42A0-B558-097FA8B77FA3}"/>
    <hyperlink ref="Z102" r:id="rId380" xr:uid="{8F6D89CB-C671-4310-BDF6-ECCC46A06D78}"/>
    <hyperlink ref="Z103" r:id="rId381" xr:uid="{012B5494-F0C6-4BE9-85C3-4113591F9E05}"/>
    <hyperlink ref="Z104" r:id="rId382" xr:uid="{D9965848-1F06-492C-8EF8-5A8601626447}"/>
    <hyperlink ref="Z105" r:id="rId383" xr:uid="{2A7E2969-7F65-4C3D-9BE9-E4D20CC4AC46}"/>
    <hyperlink ref="Z160" r:id="rId384" xr:uid="{1D84D289-0B5C-404F-94E5-9F3E7ED55906}"/>
  </hyperlinks>
  <pageMargins left="0.70866141732283472" right="0.70866141732283472" top="0.74803149606299213" bottom="0.74803149606299213" header="0" footer="0"/>
  <pageSetup orientation="landscape" r:id="rId385"/>
  <drawing r:id="rId38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177</v>
      </c>
      <c r="C6" s="32" t="s">
        <v>178</v>
      </c>
      <c r="D6" s="177" t="s">
        <v>179</v>
      </c>
      <c r="E6" s="178"/>
      <c r="F6" s="179"/>
      <c r="G6" s="62" t="s">
        <v>180</v>
      </c>
      <c r="H6" s="33" t="s">
        <v>181</v>
      </c>
      <c r="I6" s="62" t="s">
        <v>21</v>
      </c>
      <c r="J6" s="62" t="s">
        <v>22</v>
      </c>
      <c r="K6" s="62" t="s">
        <v>23</v>
      </c>
      <c r="L6" s="62" t="s">
        <v>24</v>
      </c>
      <c r="M6" s="62" t="s">
        <v>182</v>
      </c>
      <c r="N6" s="62" t="s">
        <v>25</v>
      </c>
      <c r="O6" s="62" t="s">
        <v>26</v>
      </c>
      <c r="P6" s="62" t="s">
        <v>183</v>
      </c>
      <c r="Q6" s="62" t="s">
        <v>184</v>
      </c>
      <c r="R6" s="62" t="s">
        <v>27</v>
      </c>
      <c r="S6" s="62" t="s">
        <v>28</v>
      </c>
      <c r="T6" s="62" t="s">
        <v>185</v>
      </c>
      <c r="U6" s="62" t="s">
        <v>186</v>
      </c>
      <c r="V6" s="62" t="s">
        <v>187</v>
      </c>
      <c r="W6" s="62" t="s">
        <v>188</v>
      </c>
      <c r="X6" s="62" t="s">
        <v>189</v>
      </c>
      <c r="Y6" s="69" t="s">
        <v>190</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
        <v>907</v>
      </c>
      <c r="O8" s="82">
        <v>1</v>
      </c>
      <c r="P8" s="86">
        <f>+E8</f>
        <v>322694453</v>
      </c>
      <c r="Q8" s="86">
        <f>+E8</f>
        <v>322694453</v>
      </c>
      <c r="R8" s="82">
        <v>0</v>
      </c>
      <c r="S8" s="82">
        <v>0</v>
      </c>
      <c r="T8" s="82" t="s">
        <v>37</v>
      </c>
      <c r="U8" s="82" t="s">
        <v>93</v>
      </c>
      <c r="V8" s="23" t="s">
        <v>908</v>
      </c>
      <c r="W8" s="82" t="s">
        <v>175</v>
      </c>
      <c r="X8" s="82">
        <v>2427400</v>
      </c>
      <c r="Y8" s="87" t="s">
        <v>176</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191</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192</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193</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81" t="s">
        <v>194</v>
      </c>
      <c r="C18" s="181"/>
      <c r="D18" s="181"/>
      <c r="E18" s="181"/>
      <c r="F18" s="181"/>
      <c r="G18" s="181"/>
      <c r="H18" s="181"/>
      <c r="I18" s="181"/>
      <c r="J18" s="181"/>
      <c r="K18" s="181"/>
      <c r="L18" s="181"/>
      <c r="M18" s="181"/>
      <c r="N18" s="181"/>
      <c r="O18" s="181"/>
      <c r="P18" s="181"/>
      <c r="Q18" s="181"/>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80" t="s">
        <v>195</v>
      </c>
      <c r="B20" s="180"/>
      <c r="C20" s="180"/>
      <c r="D20" s="180"/>
      <c r="E20" s="180"/>
      <c r="F20" s="180"/>
      <c r="G20" s="180"/>
      <c r="H20" s="180"/>
      <c r="I20" s="180"/>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196</v>
      </c>
      <c r="C21" s="13"/>
      <c r="D21" s="13"/>
      <c r="E21" s="13"/>
      <c r="F21" s="13"/>
      <c r="G21" s="54" t="s">
        <v>197</v>
      </c>
      <c r="H21" s="13"/>
      <c r="I21" s="13"/>
      <c r="J21" s="13"/>
      <c r="K21" s="13" t="s">
        <v>197</v>
      </c>
      <c r="L21" s="13"/>
      <c r="M21" s="13"/>
      <c r="N21" s="13"/>
      <c r="O21" s="13"/>
      <c r="P21" s="11" t="s">
        <v>198</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82"/>
      <c r="C22" s="182"/>
      <c r="D22" s="182"/>
      <c r="E22" s="182"/>
      <c r="F22" s="41"/>
      <c r="G22" s="59" t="s">
        <v>199</v>
      </c>
      <c r="H22" s="15"/>
      <c r="I22" s="15"/>
      <c r="J22" s="41"/>
      <c r="K22" s="15" t="s">
        <v>200</v>
      </c>
      <c r="L22" s="15"/>
      <c r="M22" s="15"/>
      <c r="N22" s="41"/>
      <c r="O22" s="41"/>
      <c r="P22" s="15" t="s">
        <v>201</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83" t="s">
        <v>202</v>
      </c>
      <c r="H23" s="183"/>
      <c r="I23" s="41"/>
      <c r="J23" s="41"/>
      <c r="K23" s="41" t="s">
        <v>203</v>
      </c>
      <c r="L23" s="41"/>
      <c r="M23" s="41"/>
      <c r="N23" s="41"/>
      <c r="O23" s="41"/>
      <c r="P23" s="41" t="s">
        <v>204</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80"/>
      <c r="B24" s="41"/>
      <c r="C24" s="176"/>
      <c r="D24" s="176"/>
      <c r="E24" s="176"/>
      <c r="F24" s="176"/>
      <c r="G24" s="173" t="s">
        <v>205</v>
      </c>
      <c r="H24" s="173"/>
      <c r="I24" s="173"/>
      <c r="J24" s="173"/>
      <c r="K24" s="175"/>
      <c r="L24" s="175"/>
      <c r="M24" s="175"/>
      <c r="N24" s="175"/>
      <c r="O24" s="176"/>
      <c r="P24" s="174"/>
      <c r="Q24" s="174"/>
      <c r="R24" s="174"/>
      <c r="S24" s="174"/>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c r="AY24" s="172"/>
      <c r="AZ24" s="172"/>
      <c r="BA24" s="172"/>
      <c r="BB24" s="172"/>
      <c r="BC24" s="172"/>
      <c r="BD24" s="172"/>
      <c r="BE24" s="172"/>
      <c r="BF24" s="172"/>
      <c r="BG24" s="172"/>
      <c r="BH24" s="172"/>
      <c r="BI24" s="172"/>
      <c r="BJ24" s="172"/>
      <c r="BK24" s="172"/>
      <c r="BL24" s="172"/>
      <c r="BM24" s="172"/>
      <c r="BN24" s="172"/>
      <c r="BO24" s="172"/>
      <c r="BP24" s="172"/>
      <c r="BQ24" s="172"/>
      <c r="BR24" s="172"/>
      <c r="BS24" s="172"/>
      <c r="BT24" s="172"/>
      <c r="BU24" s="172"/>
      <c r="BV24" s="172"/>
      <c r="BW24" s="172"/>
      <c r="BX24" s="172"/>
      <c r="BY24" s="172"/>
      <c r="BZ24" s="172"/>
      <c r="CA24" s="172"/>
      <c r="CB24" s="172"/>
      <c r="CC24" s="172"/>
      <c r="CD24" s="172"/>
      <c r="CE24" s="172"/>
      <c r="CF24" s="172"/>
      <c r="CG24" s="172"/>
      <c r="CH24" s="172"/>
      <c r="CI24" s="172"/>
      <c r="CJ24" s="172"/>
      <c r="CK24" s="172"/>
      <c r="CL24" s="172"/>
      <c r="CM24" s="172"/>
      <c r="CN24" s="172"/>
      <c r="CO24" s="172"/>
      <c r="CP24" s="172"/>
      <c r="CQ24" s="172"/>
      <c r="CR24" s="172"/>
      <c r="CS24" s="172"/>
      <c r="CT24" s="172"/>
      <c r="CU24" s="172"/>
      <c r="CV24" s="172"/>
      <c r="CW24" s="172"/>
      <c r="CX24" s="172"/>
      <c r="CY24" s="172"/>
      <c r="CZ24" s="172"/>
      <c r="DA24" s="172"/>
      <c r="DB24" s="172"/>
      <c r="DC24" s="172"/>
      <c r="DD24" s="172"/>
      <c r="DE24" s="172"/>
      <c r="DF24" s="172"/>
      <c r="DG24" s="172"/>
      <c r="DH24" s="172"/>
      <c r="DI24" s="172"/>
      <c r="DJ24" s="172"/>
      <c r="DK24" s="172"/>
      <c r="DL24" s="172"/>
      <c r="DM24" s="172"/>
      <c r="DN24" s="172"/>
      <c r="DO24" s="172"/>
      <c r="DP24" s="172"/>
      <c r="DQ24" s="172"/>
      <c r="DR24" s="172"/>
      <c r="DS24" s="172"/>
      <c r="DT24" s="172"/>
      <c r="DU24" s="172"/>
      <c r="DV24" s="172"/>
      <c r="DW24" s="172"/>
      <c r="DX24" s="172"/>
      <c r="DY24" s="172"/>
      <c r="DZ24" s="172"/>
      <c r="EA24" s="172"/>
      <c r="EB24" s="172"/>
      <c r="EC24" s="172"/>
      <c r="ED24" s="172"/>
      <c r="EE24" s="172"/>
      <c r="EF24" s="172"/>
      <c r="EG24" s="172"/>
      <c r="EH24" s="172"/>
      <c r="EI24" s="172"/>
      <c r="EJ24" s="172"/>
      <c r="EK24" s="172"/>
      <c r="EL24" s="172"/>
      <c r="EM24" s="172"/>
      <c r="EN24" s="172"/>
      <c r="EO24" s="172"/>
      <c r="EP24" s="172"/>
      <c r="EQ24" s="172"/>
      <c r="ER24" s="172"/>
      <c r="ES24" s="172"/>
      <c r="ET24" s="172"/>
      <c r="EU24" s="172"/>
      <c r="EV24" s="172"/>
      <c r="EW24" s="172"/>
      <c r="EX24" s="172"/>
      <c r="EY24" s="172"/>
      <c r="EZ24" s="172"/>
      <c r="FA24" s="172"/>
      <c r="FB24" s="172"/>
      <c r="FC24" s="172"/>
      <c r="FD24" s="172"/>
      <c r="FE24" s="172"/>
      <c r="FF24" s="172"/>
      <c r="FG24" s="172"/>
      <c r="FH24" s="172"/>
      <c r="FI24" s="172"/>
      <c r="FJ24" s="172"/>
      <c r="FK24" s="172"/>
      <c r="FL24" s="172"/>
      <c r="FM24" s="172"/>
      <c r="FN24" s="172"/>
      <c r="FO24" s="172"/>
      <c r="FP24" s="172"/>
      <c r="FQ24" s="172"/>
      <c r="FR24" s="172"/>
      <c r="FS24" s="172"/>
      <c r="FT24" s="172"/>
      <c r="FU24" s="172"/>
      <c r="FV24" s="172"/>
      <c r="FW24" s="172"/>
      <c r="FX24" s="172"/>
      <c r="FY24" s="172"/>
      <c r="FZ24" s="172"/>
      <c r="GA24" s="172"/>
      <c r="GB24" s="172"/>
      <c r="GC24" s="172"/>
      <c r="GD24" s="172"/>
      <c r="GE24" s="172"/>
      <c r="GF24" s="172"/>
      <c r="GG24" s="172"/>
      <c r="GH24" s="172"/>
      <c r="GI24" s="172"/>
      <c r="GJ24" s="172"/>
      <c r="GK24" s="172"/>
      <c r="GL24" s="172"/>
      <c r="GM24" s="172"/>
      <c r="GN24" s="172"/>
      <c r="GO24" s="172"/>
      <c r="GP24" s="172"/>
      <c r="GQ24" s="172"/>
      <c r="GR24" s="172"/>
      <c r="GS24" s="172"/>
      <c r="GT24" s="172"/>
      <c r="GU24" s="172"/>
      <c r="GV24" s="172"/>
      <c r="GW24" s="172"/>
      <c r="GX24" s="172"/>
      <c r="GY24" s="172"/>
      <c r="GZ24" s="172"/>
      <c r="HA24" s="172"/>
      <c r="HB24" s="172"/>
      <c r="HC24" s="172"/>
      <c r="HD24" s="172"/>
      <c r="HE24" s="172"/>
      <c r="HF24" s="172"/>
      <c r="HG24" s="172"/>
      <c r="HH24" s="12"/>
    </row>
    <row r="25" spans="1:256" s="48" customFormat="1" ht="20.100000000000001" customHeight="1" x14ac:dyDescent="0.25">
      <c r="A25" s="180"/>
      <c r="B25" s="41"/>
      <c r="C25" s="176"/>
      <c r="D25" s="176"/>
      <c r="E25" s="176"/>
      <c r="F25" s="176"/>
      <c r="G25" s="173" t="s">
        <v>206</v>
      </c>
      <c r="H25" s="173"/>
      <c r="I25" s="173"/>
      <c r="J25" s="173"/>
      <c r="K25" s="175"/>
      <c r="L25" s="175"/>
      <c r="M25" s="175"/>
      <c r="N25" s="175"/>
      <c r="O25" s="176"/>
      <c r="P25" s="174"/>
      <c r="Q25" s="174"/>
      <c r="R25" s="174"/>
      <c r="S25" s="174"/>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172"/>
      <c r="BN25" s="172"/>
      <c r="BO25" s="172"/>
      <c r="BP25" s="172"/>
      <c r="BQ25" s="172"/>
      <c r="BR25" s="172"/>
      <c r="BS25" s="172"/>
      <c r="BT25" s="172"/>
      <c r="BU25" s="172"/>
      <c r="BV25" s="172"/>
      <c r="BW25" s="172"/>
      <c r="BX25" s="172"/>
      <c r="BY25" s="172"/>
      <c r="BZ25" s="172"/>
      <c r="CA25" s="172"/>
      <c r="CB25" s="172"/>
      <c r="CC25" s="172"/>
      <c r="CD25" s="172"/>
      <c r="CE25" s="172"/>
      <c r="CF25" s="172"/>
      <c r="CG25" s="172"/>
      <c r="CH25" s="172"/>
      <c r="CI25" s="172"/>
      <c r="CJ25" s="172"/>
      <c r="CK25" s="172"/>
      <c r="CL25" s="172"/>
      <c r="CM25" s="172"/>
      <c r="CN25" s="172"/>
      <c r="CO25" s="172"/>
      <c r="CP25" s="172"/>
      <c r="CQ25" s="172"/>
      <c r="CR25" s="172"/>
      <c r="CS25" s="172"/>
      <c r="CT25" s="172"/>
      <c r="CU25" s="172"/>
      <c r="CV25" s="172"/>
      <c r="CW25" s="172"/>
      <c r="CX25" s="172"/>
      <c r="CY25" s="172"/>
      <c r="CZ25" s="172"/>
      <c r="DA25" s="172"/>
      <c r="DB25" s="172"/>
      <c r="DC25" s="172"/>
      <c r="DD25" s="172"/>
      <c r="DE25" s="172"/>
      <c r="DF25" s="172"/>
      <c r="DG25" s="172"/>
      <c r="DH25" s="172"/>
      <c r="DI25" s="172"/>
      <c r="DJ25" s="172"/>
      <c r="DK25" s="172"/>
      <c r="DL25" s="172"/>
      <c r="DM25" s="172"/>
      <c r="DN25" s="172"/>
      <c r="DO25" s="172"/>
      <c r="DP25" s="172"/>
      <c r="DQ25" s="172"/>
      <c r="DR25" s="172"/>
      <c r="DS25" s="172"/>
      <c r="DT25" s="172"/>
      <c r="DU25" s="172"/>
      <c r="DV25" s="172"/>
      <c r="DW25" s="172"/>
      <c r="DX25" s="172"/>
      <c r="DY25" s="172"/>
      <c r="DZ25" s="172"/>
      <c r="EA25" s="172"/>
      <c r="EB25" s="172"/>
      <c r="EC25" s="172"/>
      <c r="ED25" s="172"/>
      <c r="EE25" s="172"/>
      <c r="EF25" s="172"/>
      <c r="EG25" s="172"/>
      <c r="EH25" s="172"/>
      <c r="EI25" s="172"/>
      <c r="EJ25" s="172"/>
      <c r="EK25" s="172"/>
      <c r="EL25" s="172"/>
      <c r="EM25" s="172"/>
      <c r="EN25" s="172"/>
      <c r="EO25" s="172"/>
      <c r="EP25" s="172"/>
      <c r="EQ25" s="172"/>
      <c r="ER25" s="172"/>
      <c r="ES25" s="172"/>
      <c r="ET25" s="172"/>
      <c r="EU25" s="172"/>
      <c r="EV25" s="172"/>
      <c r="EW25" s="172"/>
      <c r="EX25" s="172"/>
      <c r="EY25" s="172"/>
      <c r="EZ25" s="172"/>
      <c r="FA25" s="172"/>
      <c r="FB25" s="172"/>
      <c r="FC25" s="172"/>
      <c r="FD25" s="172"/>
      <c r="FE25" s="172"/>
      <c r="FF25" s="172"/>
      <c r="FG25" s="172"/>
      <c r="FH25" s="172"/>
      <c r="FI25" s="172"/>
      <c r="FJ25" s="172"/>
      <c r="FK25" s="172"/>
      <c r="FL25" s="172"/>
      <c r="FM25" s="172"/>
      <c r="FN25" s="172"/>
      <c r="FO25" s="172"/>
      <c r="FP25" s="172"/>
      <c r="FQ25" s="172"/>
      <c r="FR25" s="172"/>
      <c r="FS25" s="172"/>
      <c r="FT25" s="172"/>
      <c r="FU25" s="172"/>
      <c r="FV25" s="172"/>
      <c r="FW25" s="172"/>
      <c r="FX25" s="172"/>
      <c r="FY25" s="172"/>
      <c r="FZ25" s="172"/>
      <c r="GA25" s="172"/>
      <c r="GB25" s="172"/>
      <c r="GC25" s="172"/>
      <c r="GD25" s="172"/>
      <c r="GE25" s="172"/>
      <c r="GF25" s="172"/>
      <c r="GG25" s="172"/>
      <c r="GH25" s="172"/>
      <c r="GI25" s="172"/>
      <c r="GJ25" s="172"/>
      <c r="GK25" s="172"/>
      <c r="GL25" s="172"/>
      <c r="GM25" s="172"/>
      <c r="GN25" s="172"/>
      <c r="GO25" s="172"/>
      <c r="GP25" s="172"/>
      <c r="GQ25" s="172"/>
      <c r="GR25" s="172"/>
      <c r="GS25" s="172"/>
      <c r="GT25" s="172"/>
      <c r="GU25" s="172"/>
      <c r="GV25" s="172"/>
      <c r="GW25" s="172"/>
      <c r="GX25" s="172"/>
      <c r="GY25" s="172"/>
      <c r="GZ25" s="172"/>
      <c r="HA25" s="172"/>
      <c r="HB25" s="172"/>
      <c r="HC25" s="172"/>
      <c r="HD25" s="172"/>
      <c r="HE25" s="172"/>
      <c r="HF25" s="172"/>
      <c r="HG25" s="172"/>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207</v>
      </c>
      <c r="C29" s="13"/>
      <c r="D29" s="13"/>
      <c r="E29" s="13"/>
      <c r="F29" s="13"/>
      <c r="G29" s="54" t="s">
        <v>208</v>
      </c>
      <c r="H29" s="13"/>
      <c r="I29" s="13"/>
      <c r="J29" s="13"/>
      <c r="K29" s="13" t="s">
        <v>208</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209</v>
      </c>
      <c r="H31" s="41"/>
      <c r="I31" s="41"/>
      <c r="J31" s="41"/>
      <c r="K31" s="41" t="s">
        <v>209</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D6:F6"/>
    <mergeCell ref="A24:A25"/>
    <mergeCell ref="C24:C25"/>
    <mergeCell ref="D24:D25"/>
    <mergeCell ref="E24:E25"/>
    <mergeCell ref="F24:F25"/>
    <mergeCell ref="G24:J24"/>
    <mergeCell ref="B18:Q18"/>
    <mergeCell ref="A20:I20"/>
    <mergeCell ref="B22:E22"/>
    <mergeCell ref="G23:H23"/>
    <mergeCell ref="Q24:Q25"/>
    <mergeCell ref="R24:R25"/>
    <mergeCell ref="S24:S25"/>
    <mergeCell ref="T24:T25"/>
    <mergeCell ref="U24:U25"/>
    <mergeCell ref="V24:V25"/>
    <mergeCell ref="K24:K25"/>
    <mergeCell ref="L24:L25"/>
    <mergeCell ref="M24:M25"/>
    <mergeCell ref="N24:N25"/>
    <mergeCell ref="O24:O25"/>
    <mergeCell ref="P24:P25"/>
    <mergeCell ref="AC24:AC25"/>
    <mergeCell ref="AD24:AD25"/>
    <mergeCell ref="AE24:AE25"/>
    <mergeCell ref="AF24:AF25"/>
    <mergeCell ref="AG24:AG25"/>
    <mergeCell ref="AH24:AH25"/>
    <mergeCell ref="W24:W25"/>
    <mergeCell ref="X24:X25"/>
    <mergeCell ref="Y24:Y25"/>
    <mergeCell ref="Z24:Z25"/>
    <mergeCell ref="AA24:AA25"/>
    <mergeCell ref="AB24:AB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 </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Yobani Alfonso Tapias</cp:lastModifiedBy>
  <cp:revision/>
  <dcterms:created xsi:type="dcterms:W3CDTF">2016-06-03T19:17:40Z</dcterms:created>
  <dcterms:modified xsi:type="dcterms:W3CDTF">2024-08-05T15:06:22Z</dcterms:modified>
  <cp:category/>
  <cp:contentStatus/>
</cp:coreProperties>
</file>