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mc:AlternateContent xmlns:mc="http://schemas.openxmlformats.org/markup-compatibility/2006">
    <mc:Choice Requires="x15">
      <x15ac:absPath xmlns:x15ac="http://schemas.microsoft.com/office/spreadsheetml/2010/11/ac" url="https://mininteriorgovco-my.sharepoint.com/personal/pahola_ardila_mininterior_gov_co/Documents/FINANCIERA/RADICACIONES PAA VS29/RADICACION PAA VS 29/"/>
    </mc:Choice>
  </mc:AlternateContent>
  <xr:revisionPtr revIDLastSave="0" documentId="8_{3198C39E-DBE6-405E-888B-607DB25FBC3E}" xr6:coauthVersionLast="47" xr6:coauthVersionMax="47" xr10:uidLastSave="{00000000-0000-0000-0000-000000000000}"/>
  <bookViews>
    <workbookView xWindow="-120" yWindow="-120" windowWidth="29040" windowHeight="15720" tabRatio="1000" activeTab="1" xr2:uid="{00000000-000D-0000-FFFF-FFFF00000000}"/>
  </bookViews>
  <sheets>
    <sheet name="PRESENTACION " sheetId="3" r:id="rId1"/>
    <sheet name="PAA " sheetId="52" r:id="rId2"/>
    <sheet name="SECRETARIA G" sheetId="50" state="hidden" r:id="rId3"/>
  </sheets>
  <definedNames>
    <definedName name="_xlnm._FilterDatabase" localSheetId="1" hidden="1">'PAA '!$A$5:$Z$865</definedName>
    <definedName name="_xlnm._FilterDatabase" localSheetId="2" hidden="1">'SECRETARIA G'!$A$6:$Y$8</definedName>
    <definedName name="Modalidad" localSheetId="1">#REF!</definedName>
    <definedName name="Modalid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01" i="52" l="1"/>
  <c r="V301" i="52"/>
  <c r="U301" i="52"/>
  <c r="T301" i="52"/>
  <c r="P301" i="52"/>
  <c r="M301" i="52"/>
  <c r="F301" i="52"/>
  <c r="R301" i="52" s="1"/>
  <c r="W291" i="52"/>
  <c r="V291" i="52"/>
  <c r="U291" i="52"/>
  <c r="T291" i="52"/>
  <c r="P291" i="52"/>
  <c r="M291" i="52"/>
  <c r="F291" i="52"/>
  <c r="R291" i="52" s="1"/>
  <c r="Q301" i="52" l="1"/>
  <c r="Q291" i="52"/>
  <c r="F604" i="52" l="1"/>
  <c r="W666" i="52" l="1"/>
  <c r="V666" i="52"/>
  <c r="U666" i="52"/>
  <c r="T666" i="52"/>
  <c r="R666" i="52"/>
  <c r="Q666" i="52"/>
  <c r="P666" i="52"/>
  <c r="M666" i="52"/>
  <c r="F619" i="52"/>
  <c r="F586" i="52"/>
  <c r="F661" i="52" l="1"/>
  <c r="F660" i="52"/>
  <c r="W665" i="52"/>
  <c r="V665" i="52"/>
  <c r="U665" i="52"/>
  <c r="T665" i="52"/>
  <c r="R665" i="52"/>
  <c r="Q665" i="52"/>
  <c r="P665" i="52"/>
  <c r="M665" i="52"/>
  <c r="F179" i="52" l="1"/>
  <c r="Q179" i="52" s="1"/>
  <c r="R178" i="52"/>
  <c r="Q178" i="52"/>
  <c r="F177" i="52"/>
  <c r="Q177" i="52" s="1"/>
  <c r="F174" i="52"/>
  <c r="R174" i="52" s="1"/>
  <c r="W162" i="52"/>
  <c r="V162" i="52"/>
  <c r="U162" i="52"/>
  <c r="T162" i="52"/>
  <c r="R162" i="52"/>
  <c r="Q162" i="52"/>
  <c r="P162" i="52"/>
  <c r="M162" i="52"/>
  <c r="R159" i="52"/>
  <c r="Q159" i="52"/>
  <c r="R158" i="52"/>
  <c r="Q158" i="52"/>
  <c r="R157" i="52"/>
  <c r="Q157" i="52"/>
  <c r="W152" i="52"/>
  <c r="V152" i="52"/>
  <c r="U152" i="52"/>
  <c r="T152" i="52"/>
  <c r="R152" i="52"/>
  <c r="Q152" i="52"/>
  <c r="P152" i="52"/>
  <c r="M152" i="52"/>
  <c r="W151" i="52"/>
  <c r="V151" i="52"/>
  <c r="U151" i="52"/>
  <c r="T151" i="52"/>
  <c r="R151" i="52"/>
  <c r="Q151" i="52"/>
  <c r="P151" i="52"/>
  <c r="W150" i="52"/>
  <c r="V150" i="52"/>
  <c r="U150" i="52"/>
  <c r="T150" i="52"/>
  <c r="R150" i="52"/>
  <c r="Q150" i="52"/>
  <c r="P150" i="52"/>
  <c r="M150" i="52"/>
  <c r="W149" i="52"/>
  <c r="V149" i="52"/>
  <c r="U149" i="52"/>
  <c r="T149" i="52"/>
  <c r="R149" i="52"/>
  <c r="Q149" i="52"/>
  <c r="P149" i="52"/>
  <c r="M149" i="52"/>
  <c r="W148" i="52"/>
  <c r="V148" i="52"/>
  <c r="U148" i="52"/>
  <c r="T148" i="52"/>
  <c r="R148" i="52"/>
  <c r="Q148" i="52"/>
  <c r="P148" i="52"/>
  <c r="M148" i="52"/>
  <c r="W147" i="52"/>
  <c r="V147" i="52"/>
  <c r="U147" i="52"/>
  <c r="T147" i="52"/>
  <c r="R147" i="52"/>
  <c r="Q147" i="52"/>
  <c r="P147" i="52"/>
  <c r="M147" i="52"/>
  <c r="W146" i="52"/>
  <c r="V146" i="52"/>
  <c r="U146" i="52"/>
  <c r="T146" i="52"/>
  <c r="R146" i="52"/>
  <c r="Q146" i="52"/>
  <c r="P146" i="52"/>
  <c r="M146" i="52"/>
  <c r="W145" i="52"/>
  <c r="V145" i="52"/>
  <c r="U145" i="52"/>
  <c r="T145" i="52"/>
  <c r="R145" i="52"/>
  <c r="Q145" i="52"/>
  <c r="P145" i="52"/>
  <c r="M145" i="52"/>
  <c r="W144" i="52"/>
  <c r="V144" i="52"/>
  <c r="U144" i="52"/>
  <c r="T144" i="52"/>
  <c r="P144" i="52"/>
  <c r="M144" i="52"/>
  <c r="F144" i="52"/>
  <c r="R144" i="52" s="1"/>
  <c r="W143" i="52"/>
  <c r="V143" i="52"/>
  <c r="U143" i="52"/>
  <c r="T143" i="52"/>
  <c r="R143" i="52"/>
  <c r="Q143" i="52"/>
  <c r="P143" i="52"/>
  <c r="M143" i="52"/>
  <c r="W142" i="52"/>
  <c r="V142" i="52"/>
  <c r="U142" i="52"/>
  <c r="T142" i="52"/>
  <c r="R142" i="52"/>
  <c r="Q142" i="52"/>
  <c r="P142" i="52"/>
  <c r="M142" i="52"/>
  <c r="W141" i="52"/>
  <c r="V141" i="52"/>
  <c r="U141" i="52"/>
  <c r="T141" i="52"/>
  <c r="R141" i="52"/>
  <c r="Q141" i="52"/>
  <c r="P141" i="52"/>
  <c r="M141" i="52"/>
  <c r="W140" i="52"/>
  <c r="V140" i="52"/>
  <c r="U140" i="52"/>
  <c r="T140" i="52"/>
  <c r="R140" i="52"/>
  <c r="Q140" i="52"/>
  <c r="P140" i="52"/>
  <c r="M140" i="52"/>
  <c r="W138" i="52"/>
  <c r="V138" i="52"/>
  <c r="U138" i="52"/>
  <c r="T138" i="52"/>
  <c r="R138" i="52"/>
  <c r="Q138" i="52"/>
  <c r="P138" i="52"/>
  <c r="M138" i="52"/>
  <c r="W137" i="52"/>
  <c r="V137" i="52"/>
  <c r="U137" i="52"/>
  <c r="T137" i="52"/>
  <c r="R137" i="52"/>
  <c r="Q137" i="52"/>
  <c r="P137" i="52"/>
  <c r="M137" i="52"/>
  <c r="W136" i="52"/>
  <c r="V136" i="52"/>
  <c r="U136" i="52"/>
  <c r="T136" i="52"/>
  <c r="P136" i="52"/>
  <c r="M136" i="52"/>
  <c r="F136" i="52"/>
  <c r="R136" i="52" s="1"/>
  <c r="W135" i="52"/>
  <c r="V135" i="52"/>
  <c r="U135" i="52"/>
  <c r="T135" i="52"/>
  <c r="R135" i="52"/>
  <c r="Q135" i="52"/>
  <c r="P135" i="52"/>
  <c r="M135" i="52"/>
  <c r="W134" i="52"/>
  <c r="V134" i="52"/>
  <c r="U134" i="52"/>
  <c r="T134" i="52"/>
  <c r="R134" i="52"/>
  <c r="Q134" i="52"/>
  <c r="P134" i="52"/>
  <c r="M134" i="52"/>
  <c r="W133" i="52"/>
  <c r="V133" i="52"/>
  <c r="U133" i="52"/>
  <c r="T133" i="52"/>
  <c r="P133" i="52"/>
  <c r="M133" i="52"/>
  <c r="F133" i="52"/>
  <c r="Q133" i="52" s="1"/>
  <c r="W132" i="52"/>
  <c r="V132" i="52"/>
  <c r="U132" i="52"/>
  <c r="T132" i="52"/>
  <c r="R132" i="52"/>
  <c r="Q132" i="52"/>
  <c r="P132" i="52"/>
  <c r="M132" i="52"/>
  <c r="W131" i="52"/>
  <c r="V131" i="52"/>
  <c r="U131" i="52"/>
  <c r="T131" i="52"/>
  <c r="P131" i="52"/>
  <c r="M131" i="52"/>
  <c r="F131" i="52"/>
  <c r="Q131" i="52" s="1"/>
  <c r="W130" i="52"/>
  <c r="V130" i="52"/>
  <c r="U130" i="52"/>
  <c r="T130" i="52"/>
  <c r="P130" i="52"/>
  <c r="M130" i="52"/>
  <c r="F130" i="52"/>
  <c r="Q130" i="52" s="1"/>
  <c r="W129" i="52"/>
  <c r="V129" i="52"/>
  <c r="U129" i="52"/>
  <c r="T129" i="52"/>
  <c r="P129" i="52"/>
  <c r="F129" i="52"/>
  <c r="R129" i="52" s="1"/>
  <c r="W128" i="52"/>
  <c r="V128" i="52"/>
  <c r="U128" i="52"/>
  <c r="T128" i="52"/>
  <c r="R128" i="52"/>
  <c r="Q128" i="52"/>
  <c r="P128" i="52"/>
  <c r="M128" i="52"/>
  <c r="W127" i="52"/>
  <c r="V127" i="52"/>
  <c r="U127" i="52"/>
  <c r="T127" i="52"/>
  <c r="P127" i="52"/>
  <c r="M127" i="52"/>
  <c r="F127" i="52"/>
  <c r="R127" i="52" s="1"/>
  <c r="W126" i="52"/>
  <c r="V126" i="52"/>
  <c r="U126" i="52"/>
  <c r="T126" i="52"/>
  <c r="R126" i="52"/>
  <c r="Q126" i="52"/>
  <c r="P126" i="52"/>
  <c r="M126" i="52"/>
  <c r="W123" i="52"/>
  <c r="V123" i="52"/>
  <c r="U123" i="52"/>
  <c r="T123" i="52"/>
  <c r="R123" i="52"/>
  <c r="Q123" i="52"/>
  <c r="P123" i="52"/>
  <c r="M123" i="52"/>
  <c r="W122" i="52"/>
  <c r="V122" i="52"/>
  <c r="U122" i="52"/>
  <c r="T122" i="52"/>
  <c r="R122" i="52"/>
  <c r="Q122" i="52"/>
  <c r="P122" i="52"/>
  <c r="M122" i="52"/>
  <c r="W121" i="52"/>
  <c r="V121" i="52"/>
  <c r="U121" i="52"/>
  <c r="T121" i="52"/>
  <c r="R121" i="52"/>
  <c r="Q121" i="52"/>
  <c r="P121" i="52"/>
  <c r="M121" i="52"/>
  <c r="W120" i="52"/>
  <c r="V120" i="52"/>
  <c r="U120" i="52"/>
  <c r="T120" i="52"/>
  <c r="R120" i="52"/>
  <c r="Q120" i="52"/>
  <c r="P120" i="52"/>
  <c r="M120" i="52"/>
  <c r="W119" i="52"/>
  <c r="V119" i="52"/>
  <c r="U119" i="52"/>
  <c r="T119" i="52"/>
  <c r="R119" i="52"/>
  <c r="Q119" i="52"/>
  <c r="P119" i="52"/>
  <c r="M119" i="52"/>
  <c r="W118" i="52"/>
  <c r="V118" i="52"/>
  <c r="U118" i="52"/>
  <c r="T118" i="52"/>
  <c r="R118" i="52"/>
  <c r="Q118" i="52"/>
  <c r="P118" i="52"/>
  <c r="M118" i="52"/>
  <c r="W115" i="52"/>
  <c r="V115" i="52"/>
  <c r="U115" i="52"/>
  <c r="T115" i="52"/>
  <c r="R115" i="52"/>
  <c r="Q115" i="52"/>
  <c r="P115" i="52"/>
  <c r="M115" i="52"/>
  <c r="W114" i="52"/>
  <c r="V114" i="52"/>
  <c r="U114" i="52"/>
  <c r="T114" i="52"/>
  <c r="P114" i="52"/>
  <c r="M114" i="52"/>
  <c r="F114" i="52"/>
  <c r="R114" i="52" s="1"/>
  <c r="W113" i="52"/>
  <c r="V113" i="52"/>
  <c r="U113" i="52"/>
  <c r="T113" i="52"/>
  <c r="P113" i="52"/>
  <c r="M113" i="52"/>
  <c r="F113" i="52"/>
  <c r="Q113" i="52" s="1"/>
  <c r="W112" i="52"/>
  <c r="V112" i="52"/>
  <c r="U112" i="52"/>
  <c r="T112" i="52"/>
  <c r="R112" i="52"/>
  <c r="Q112" i="52"/>
  <c r="P112" i="52"/>
  <c r="M112" i="52"/>
  <c r="W110" i="52"/>
  <c r="V110" i="52"/>
  <c r="U110" i="52"/>
  <c r="T110" i="52"/>
  <c r="P110" i="52"/>
  <c r="M110" i="52"/>
  <c r="F110" i="52"/>
  <c r="R110" i="52" s="1"/>
  <c r="W109" i="52"/>
  <c r="V109" i="52"/>
  <c r="U109" i="52"/>
  <c r="T109" i="52"/>
  <c r="R109" i="52"/>
  <c r="Q109" i="52"/>
  <c r="P109" i="52"/>
  <c r="M109" i="52"/>
  <c r="W108" i="52"/>
  <c r="V108" i="52"/>
  <c r="U108" i="52"/>
  <c r="T108" i="52"/>
  <c r="P108" i="52"/>
  <c r="M108" i="52"/>
  <c r="F108" i="52"/>
  <c r="Q108" i="52" s="1"/>
  <c r="W106" i="52"/>
  <c r="V106" i="52"/>
  <c r="U106" i="52"/>
  <c r="T106" i="52"/>
  <c r="P106" i="52"/>
  <c r="M106" i="52"/>
  <c r="F106" i="52"/>
  <c r="R106" i="52" s="1"/>
  <c r="R113" i="52" l="1"/>
  <c r="R179" i="52"/>
  <c r="R177" i="52"/>
  <c r="R131" i="52"/>
  <c r="R108" i="52"/>
  <c r="R130" i="52"/>
  <c r="R133" i="52"/>
  <c r="Q106" i="52"/>
  <c r="Q174" i="52"/>
  <c r="Q144" i="52"/>
  <c r="Q129" i="52"/>
  <c r="Q136" i="52"/>
  <c r="Q127" i="52"/>
  <c r="Q114" i="52"/>
  <c r="Q110" i="52"/>
  <c r="M530" i="52" l="1"/>
  <c r="F517" i="52" l="1"/>
  <c r="F175" i="52" l="1"/>
  <c r="F523" i="52" l="1"/>
  <c r="F521" i="52"/>
  <c r="F43" i="52"/>
  <c r="F41" i="52"/>
  <c r="G850" i="52"/>
  <c r="F850" i="52"/>
  <c r="R854" i="52"/>
  <c r="Q854" i="52"/>
  <c r="F480" i="52" l="1"/>
  <c r="M93" i="52"/>
  <c r="F676" i="52" l="1"/>
  <c r="F673" i="52"/>
  <c r="W681" i="52"/>
  <c r="V681" i="52"/>
  <c r="U681" i="52"/>
  <c r="T681" i="52"/>
  <c r="R681" i="52"/>
  <c r="Q681" i="52"/>
  <c r="F582" i="52" l="1"/>
  <c r="F269" i="52" l="1"/>
  <c r="F264" i="52"/>
  <c r="F263" i="52"/>
  <c r="F262" i="52"/>
  <c r="F256" i="52"/>
  <c r="F255" i="52"/>
  <c r="F254" i="52"/>
  <c r="F246" i="52"/>
  <c r="F245" i="52"/>
  <c r="F237" i="52"/>
  <c r="F231" i="52"/>
  <c r="F230" i="52"/>
  <c r="F223" i="52"/>
  <c r="F97" i="52" l="1"/>
  <c r="F64" i="52"/>
  <c r="F59" i="52"/>
  <c r="F42" i="52" l="1"/>
  <c r="F482" i="52" l="1"/>
  <c r="F481" i="52"/>
  <c r="F479" i="52" l="1"/>
  <c r="F472" i="52"/>
  <c r="F471" i="52"/>
  <c r="F470" i="52"/>
  <c r="F458" i="52"/>
  <c r="F457" i="52"/>
  <c r="F455" i="52"/>
  <c r="F454" i="52"/>
  <c r="F450" i="52"/>
  <c r="F449" i="52"/>
  <c r="F448" i="52"/>
  <c r="F447" i="52"/>
  <c r="F440" i="52"/>
  <c r="F439" i="52"/>
  <c r="F438" i="52"/>
  <c r="F430" i="52"/>
  <c r="F429" i="52"/>
  <c r="F427" i="52"/>
  <c r="F426" i="52"/>
  <c r="R853" i="52"/>
  <c r="Q853" i="52"/>
  <c r="R852" i="52"/>
  <c r="Q852" i="52"/>
  <c r="R851" i="52"/>
  <c r="Q851" i="52"/>
  <c r="R850" i="52"/>
  <c r="Q850" i="52"/>
  <c r="R849" i="52"/>
  <c r="Q849" i="52"/>
  <c r="R848" i="52"/>
  <c r="Q848" i="52"/>
  <c r="R847" i="52"/>
  <c r="Q847" i="52"/>
  <c r="F552" i="52" l="1"/>
  <c r="F545" i="52"/>
  <c r="F544" i="52"/>
  <c r="F541" i="52"/>
  <c r="F550" i="52" l="1"/>
  <c r="F534" i="52" l="1"/>
  <c r="F530" i="52"/>
  <c r="F525" i="52"/>
  <c r="F524" i="52"/>
  <c r="M57" i="52"/>
  <c r="F533" i="52" l="1"/>
  <c r="F532" i="52"/>
  <c r="F527" i="52"/>
  <c r="W558" i="52"/>
  <c r="V558" i="52"/>
  <c r="U558" i="52"/>
  <c r="R558" i="52"/>
  <c r="Q558" i="52"/>
  <c r="M92" i="52" l="1"/>
  <c r="F404" i="52" l="1"/>
  <c r="F155" i="52" l="1"/>
  <c r="F580" i="52" l="1"/>
  <c r="F575" i="52"/>
  <c r="F574" i="52"/>
  <c r="F571" i="52"/>
  <c r="F570" i="52"/>
  <c r="F569" i="52"/>
  <c r="F568" i="52"/>
  <c r="F567" i="52"/>
  <c r="F566" i="52"/>
  <c r="F565" i="52"/>
  <c r="F557" i="52" l="1"/>
  <c r="F547" i="52"/>
  <c r="F543" i="52"/>
  <c r="F542" i="52"/>
  <c r="W509" i="52" l="1"/>
  <c r="W506" i="52"/>
  <c r="F390" i="52"/>
  <c r="F389" i="52"/>
  <c r="F388" i="52"/>
  <c r="F387" i="52"/>
  <c r="F383" i="52"/>
  <c r="F379" i="52"/>
  <c r="F107" i="52" l="1"/>
  <c r="W172" i="52"/>
  <c r="V172" i="52"/>
  <c r="U172" i="52"/>
  <c r="T172" i="52"/>
  <c r="R172" i="52"/>
  <c r="Q172" i="52"/>
  <c r="P172" i="52"/>
  <c r="M172" i="52"/>
  <c r="F675" i="52" l="1"/>
  <c r="F672" i="52"/>
  <c r="G845" i="52"/>
  <c r="G844" i="52"/>
  <c r="G843" i="52"/>
  <c r="G842" i="52"/>
  <c r="G840" i="52"/>
  <c r="G827" i="52"/>
  <c r="G826" i="52"/>
  <c r="F845" i="52"/>
  <c r="F844" i="52"/>
  <c r="F843" i="52"/>
  <c r="F842" i="52"/>
  <c r="F840" i="52"/>
  <c r="F827" i="52"/>
  <c r="F826" i="52"/>
  <c r="W557" i="52" l="1"/>
  <c r="V557" i="52"/>
  <c r="U557" i="52"/>
  <c r="T557" i="52"/>
  <c r="R557" i="52"/>
  <c r="Q557" i="52"/>
  <c r="F54" i="52" l="1"/>
  <c r="F40" i="52"/>
  <c r="F184" i="52" l="1"/>
  <c r="F180" i="52"/>
  <c r="R171" i="52" l="1"/>
  <c r="Q171" i="52"/>
  <c r="R170" i="52"/>
  <c r="Q170" i="52"/>
  <c r="R169" i="52"/>
  <c r="Q169" i="52"/>
  <c r="R168" i="52"/>
  <c r="Q168" i="52"/>
  <c r="F372" i="52" l="1"/>
  <c r="F369" i="52"/>
  <c r="F367" i="52"/>
  <c r="F366" i="52"/>
  <c r="F365" i="52"/>
  <c r="F364" i="52"/>
  <c r="F312" i="52"/>
  <c r="F311" i="52"/>
  <c r="F295" i="52"/>
  <c r="F664" i="52" l="1"/>
  <c r="F652" i="52"/>
  <c r="Q652" i="52" s="1"/>
  <c r="M626" i="52"/>
  <c r="F626" i="52"/>
  <c r="F620" i="52"/>
  <c r="F26" i="52" l="1"/>
  <c r="F21" i="52"/>
  <c r="F19" i="52"/>
  <c r="F18" i="52"/>
  <c r="F103" i="52" l="1"/>
  <c r="R556" i="52" l="1"/>
  <c r="Q556" i="52"/>
  <c r="M555" i="52"/>
  <c r="M551" i="52"/>
  <c r="F538" i="52"/>
  <c r="F409" i="52" l="1"/>
  <c r="W425" i="52"/>
  <c r="V425" i="52"/>
  <c r="U425" i="52"/>
  <c r="T425" i="52"/>
  <c r="R425" i="52"/>
  <c r="Q425" i="52"/>
  <c r="P425" i="52"/>
  <c r="M425" i="52"/>
  <c r="F519" i="52" l="1"/>
  <c r="F518" i="52" l="1"/>
  <c r="F594" i="52"/>
  <c r="T594" i="52"/>
  <c r="T590" i="52"/>
  <c r="W167" i="52" l="1"/>
  <c r="V167" i="52"/>
  <c r="U167" i="52"/>
  <c r="T167" i="52"/>
  <c r="R167" i="52"/>
  <c r="Q167" i="52"/>
  <c r="P167" i="52"/>
  <c r="M167" i="52"/>
  <c r="W166" i="52"/>
  <c r="V166" i="52"/>
  <c r="U166" i="52"/>
  <c r="T166" i="52"/>
  <c r="R166" i="52"/>
  <c r="Q166" i="52"/>
  <c r="P166" i="52"/>
  <c r="M166" i="52"/>
  <c r="W165" i="52"/>
  <c r="V165" i="52"/>
  <c r="U165" i="52"/>
  <c r="T165" i="52"/>
  <c r="R165" i="52"/>
  <c r="Q165" i="52"/>
  <c r="P165" i="52"/>
  <c r="M165" i="52"/>
  <c r="W164" i="52"/>
  <c r="V164" i="52"/>
  <c r="U164" i="52"/>
  <c r="T164" i="52"/>
  <c r="R164" i="52"/>
  <c r="Q164" i="52"/>
  <c r="P164" i="52"/>
  <c r="M164" i="52"/>
  <c r="W163" i="52"/>
  <c r="V163" i="52"/>
  <c r="U163" i="52"/>
  <c r="T163" i="52"/>
  <c r="R163" i="52"/>
  <c r="Q163" i="52"/>
  <c r="P163" i="52"/>
  <c r="M163" i="52"/>
  <c r="W161" i="52"/>
  <c r="V161" i="52"/>
  <c r="U161" i="52"/>
  <c r="T161" i="52"/>
  <c r="R161" i="52"/>
  <c r="Q161" i="52"/>
  <c r="P161" i="52"/>
  <c r="M161" i="52"/>
  <c r="F28" i="52"/>
  <c r="F24" i="52"/>
  <c r="F22" i="52"/>
  <c r="F13" i="52"/>
  <c r="F12" i="52"/>
  <c r="F11" i="52"/>
  <c r="F8" i="52"/>
  <c r="F7" i="52"/>
  <c r="F609" i="52" l="1"/>
  <c r="F605" i="52"/>
  <c r="F592" i="52"/>
  <c r="F590" i="52"/>
  <c r="F584" i="52"/>
  <c r="F573" i="52"/>
  <c r="F210" i="52" l="1"/>
  <c r="F196" i="52"/>
  <c r="R553" i="52"/>
  <c r="Q553" i="52"/>
  <c r="R552" i="52"/>
  <c r="Q552" i="52"/>
  <c r="R551" i="52"/>
  <c r="Q551" i="52"/>
  <c r="R550" i="52"/>
  <c r="Q550" i="52"/>
  <c r="R511" i="52"/>
  <c r="Q511" i="52"/>
  <c r="R510" i="52"/>
  <c r="Q510" i="52"/>
  <c r="R509" i="52"/>
  <c r="Q509" i="52"/>
  <c r="R508" i="52"/>
  <c r="Q508" i="52"/>
  <c r="R507" i="52"/>
  <c r="Q507" i="52"/>
  <c r="R506" i="52"/>
  <c r="Q506" i="52"/>
  <c r="R505" i="52"/>
  <c r="Q505" i="52"/>
  <c r="R504" i="52"/>
  <c r="Q504" i="52"/>
  <c r="R503" i="52"/>
  <c r="Q503" i="52"/>
  <c r="R502" i="52"/>
  <c r="Q502" i="52"/>
  <c r="R501" i="52"/>
  <c r="Q501" i="52"/>
  <c r="R500" i="52"/>
  <c r="Q500" i="52"/>
  <c r="R499" i="52"/>
  <c r="Q499" i="52"/>
  <c r="R498" i="52"/>
  <c r="Q498" i="52"/>
  <c r="R497" i="52"/>
  <c r="Q497" i="52"/>
  <c r="R496" i="52"/>
  <c r="Q496" i="52"/>
  <c r="R495" i="52"/>
  <c r="Q495" i="52"/>
  <c r="R494" i="52"/>
  <c r="Q494" i="52"/>
  <c r="R493" i="52"/>
  <c r="Q493" i="52"/>
  <c r="R492" i="52"/>
  <c r="Q492" i="52"/>
  <c r="R491" i="52"/>
  <c r="Q491" i="52"/>
  <c r="R490" i="52"/>
  <c r="Q490" i="52"/>
  <c r="R489" i="52"/>
  <c r="Q489" i="52"/>
  <c r="R488" i="52"/>
  <c r="Q488" i="52"/>
  <c r="R487" i="52"/>
  <c r="Q487" i="52"/>
  <c r="R486" i="52"/>
  <c r="Q486" i="52"/>
  <c r="R212" i="52"/>
  <c r="Q212" i="52"/>
  <c r="F190" i="52" l="1"/>
  <c r="F186" i="52"/>
  <c r="F189" i="52"/>
  <c r="F188" i="52"/>
  <c r="F185" i="52"/>
  <c r="F638" i="52" l="1"/>
  <c r="F637" i="52"/>
  <c r="F634" i="52"/>
  <c r="F623" i="52"/>
  <c r="F613" i="52"/>
  <c r="F555" i="52" l="1"/>
  <c r="F554" i="52"/>
  <c r="R554" i="52" l="1"/>
  <c r="Q554" i="52"/>
  <c r="Q555" i="52"/>
  <c r="R555" i="52"/>
  <c r="F251" i="52"/>
  <c r="F318" i="52" l="1"/>
  <c r="F50" i="52" l="1"/>
  <c r="F44" i="52"/>
  <c r="F38" i="52"/>
  <c r="F31" i="52"/>
  <c r="F29" i="52"/>
  <c r="M18" i="52"/>
  <c r="M19" i="52"/>
  <c r="F14" i="52"/>
  <c r="W160" i="52" l="1"/>
  <c r="V160" i="52"/>
  <c r="U160" i="52"/>
  <c r="T160" i="52"/>
  <c r="R160" i="52"/>
  <c r="Q160" i="52"/>
  <c r="P160" i="52"/>
  <c r="M160" i="52"/>
  <c r="F540" i="52" l="1"/>
  <c r="W865" i="52" l="1"/>
  <c r="V865" i="52"/>
  <c r="U865" i="52"/>
  <c r="R865" i="52"/>
  <c r="Q865" i="52"/>
  <c r="W864" i="52"/>
  <c r="V864" i="52"/>
  <c r="U864" i="52"/>
  <c r="T864" i="52"/>
  <c r="R864" i="52"/>
  <c r="Q864" i="52"/>
  <c r="P864" i="52"/>
  <c r="M864" i="52"/>
  <c r="W863" i="52"/>
  <c r="V863" i="52"/>
  <c r="U863" i="52"/>
  <c r="T863" i="52"/>
  <c r="P863" i="52"/>
  <c r="M863" i="52"/>
  <c r="F863" i="52"/>
  <c r="Q863" i="52" s="1"/>
  <c r="W862" i="52"/>
  <c r="V862" i="52"/>
  <c r="U862" i="52"/>
  <c r="T862" i="52"/>
  <c r="P862" i="52"/>
  <c r="M862" i="52"/>
  <c r="F862" i="52"/>
  <c r="Q862" i="52" s="1"/>
  <c r="W861" i="52"/>
  <c r="V861" i="52"/>
  <c r="U861" i="52"/>
  <c r="T861" i="52"/>
  <c r="R861" i="52"/>
  <c r="Q861" i="52"/>
  <c r="P861" i="52"/>
  <c r="M861" i="52"/>
  <c r="W860" i="52"/>
  <c r="V860" i="52"/>
  <c r="U860" i="52"/>
  <c r="T860" i="52"/>
  <c r="R860" i="52"/>
  <c r="Q860" i="52"/>
  <c r="P860" i="52"/>
  <c r="M860" i="52"/>
  <c r="W859" i="52"/>
  <c r="V859" i="52"/>
  <c r="U859" i="52"/>
  <c r="T859" i="52"/>
  <c r="R859" i="52"/>
  <c r="Q859" i="52"/>
  <c r="P859" i="52"/>
  <c r="M859" i="52"/>
  <c r="W858" i="52"/>
  <c r="V858" i="52"/>
  <c r="U858" i="52"/>
  <c r="T858" i="52"/>
  <c r="P858" i="52"/>
  <c r="M858" i="52"/>
  <c r="F858" i="52"/>
  <c r="Q858" i="52" s="1"/>
  <c r="W857" i="52"/>
  <c r="V857" i="52"/>
  <c r="U857" i="52"/>
  <c r="T857" i="52"/>
  <c r="R857" i="52"/>
  <c r="Q857" i="52"/>
  <c r="P857" i="52"/>
  <c r="M857" i="52"/>
  <c r="W856" i="52"/>
  <c r="V856" i="52"/>
  <c r="U856" i="52"/>
  <c r="T856" i="52"/>
  <c r="R856" i="52"/>
  <c r="P856" i="52"/>
  <c r="M856" i="52"/>
  <c r="Q856" i="52"/>
  <c r="W855" i="52"/>
  <c r="V855" i="52"/>
  <c r="U855" i="52"/>
  <c r="T855" i="52"/>
  <c r="R855" i="52"/>
  <c r="Q855" i="52"/>
  <c r="P855" i="52"/>
  <c r="M855" i="52"/>
  <c r="T845" i="52"/>
  <c r="R845" i="52"/>
  <c r="Q845" i="52"/>
  <c r="T844" i="52"/>
  <c r="R844" i="52"/>
  <c r="Q844" i="52"/>
  <c r="T843" i="52"/>
  <c r="R843" i="52"/>
  <c r="Q843" i="52"/>
  <c r="T842" i="52"/>
  <c r="R842" i="52"/>
  <c r="Q842" i="52"/>
  <c r="T841" i="52"/>
  <c r="R841" i="52"/>
  <c r="Q841" i="52"/>
  <c r="T840" i="52"/>
  <c r="R840" i="52"/>
  <c r="Q840" i="52"/>
  <c r="T839" i="52"/>
  <c r="R839" i="52"/>
  <c r="Q839" i="52"/>
  <c r="T838" i="52"/>
  <c r="R838" i="52"/>
  <c r="Q838" i="52"/>
  <c r="T837" i="52"/>
  <c r="R837" i="52"/>
  <c r="Q837" i="52"/>
  <c r="T836" i="52"/>
  <c r="R836" i="52"/>
  <c r="Q836" i="52"/>
  <c r="T835" i="52"/>
  <c r="R835" i="52"/>
  <c r="Q835" i="52"/>
  <c r="T834" i="52"/>
  <c r="R834" i="52"/>
  <c r="Q834" i="52"/>
  <c r="G833" i="52"/>
  <c r="F833" i="52"/>
  <c r="R833" i="52" s="1"/>
  <c r="G832" i="52"/>
  <c r="F832" i="52"/>
  <c r="R832" i="52" s="1"/>
  <c r="R831" i="52"/>
  <c r="Q831" i="52"/>
  <c r="R830" i="52"/>
  <c r="Q830" i="52"/>
  <c r="R829" i="52"/>
  <c r="Q829" i="52"/>
  <c r="R828" i="52"/>
  <c r="Q828" i="52"/>
  <c r="R827" i="52"/>
  <c r="Q827" i="52"/>
  <c r="R826" i="52"/>
  <c r="Q826" i="52"/>
  <c r="R825" i="52"/>
  <c r="Q825" i="52"/>
  <c r="G824" i="52"/>
  <c r="F824" i="52"/>
  <c r="R824" i="52" s="1"/>
  <c r="G823" i="52"/>
  <c r="F823" i="52"/>
  <c r="R823" i="52" s="1"/>
  <c r="R822" i="52"/>
  <c r="Q822" i="52"/>
  <c r="W821" i="52"/>
  <c r="V821" i="52"/>
  <c r="U821" i="52"/>
  <c r="T821" i="52"/>
  <c r="R821" i="52"/>
  <c r="Q821" i="52"/>
  <c r="P821" i="52"/>
  <c r="M821" i="52"/>
  <c r="W820" i="52"/>
  <c r="V820" i="52"/>
  <c r="U820" i="52"/>
  <c r="T820" i="52"/>
  <c r="P820" i="52"/>
  <c r="M820" i="52"/>
  <c r="F820" i="52"/>
  <c r="R820" i="52" s="1"/>
  <c r="W819" i="52"/>
  <c r="V819" i="52"/>
  <c r="U819" i="52"/>
  <c r="T819" i="52"/>
  <c r="P819" i="52"/>
  <c r="M819" i="52"/>
  <c r="F819" i="52"/>
  <c r="R819" i="52" s="1"/>
  <c r="W818" i="52"/>
  <c r="V818" i="52"/>
  <c r="U818" i="52"/>
  <c r="T818" i="52"/>
  <c r="P818" i="52"/>
  <c r="M818" i="52"/>
  <c r="F818" i="52"/>
  <c r="R818" i="52" s="1"/>
  <c r="W817" i="52"/>
  <c r="V817" i="52"/>
  <c r="U817" i="52"/>
  <c r="T817" i="52"/>
  <c r="P817" i="52"/>
  <c r="M817" i="52"/>
  <c r="F817" i="52"/>
  <c r="Q817" i="52" s="1"/>
  <c r="W816" i="52"/>
  <c r="V816" i="52"/>
  <c r="U816" i="52"/>
  <c r="T816" i="52"/>
  <c r="P816" i="52"/>
  <c r="M816" i="52"/>
  <c r="F816" i="52"/>
  <c r="R816" i="52" s="1"/>
  <c r="W815" i="52"/>
  <c r="V815" i="52"/>
  <c r="U815" i="52"/>
  <c r="T815" i="52"/>
  <c r="P815" i="52"/>
  <c r="M815" i="52"/>
  <c r="F815" i="52"/>
  <c r="Q815" i="52" s="1"/>
  <c r="W814" i="52"/>
  <c r="V814" i="52"/>
  <c r="U814" i="52"/>
  <c r="T814" i="52"/>
  <c r="P814" i="52"/>
  <c r="M814" i="52"/>
  <c r="F814" i="52"/>
  <c r="R814" i="52" s="1"/>
  <c r="W813" i="52"/>
  <c r="V813" i="52"/>
  <c r="U813" i="52"/>
  <c r="T813" i="52"/>
  <c r="R813" i="52"/>
  <c r="Q813" i="52"/>
  <c r="P813" i="52"/>
  <c r="M813" i="52"/>
  <c r="W812" i="52"/>
  <c r="V812" i="52"/>
  <c r="U812" i="52"/>
  <c r="T812" i="52"/>
  <c r="R812" i="52"/>
  <c r="Q812" i="52"/>
  <c r="P812" i="52"/>
  <c r="M812" i="52"/>
  <c r="W811" i="52"/>
  <c r="V811" i="52"/>
  <c r="U811" i="52"/>
  <c r="T811" i="52"/>
  <c r="R811" i="52"/>
  <c r="Q811" i="52"/>
  <c r="P811" i="52"/>
  <c r="M811" i="52"/>
  <c r="W810" i="52"/>
  <c r="V810" i="52"/>
  <c r="U810" i="52"/>
  <c r="T810" i="52"/>
  <c r="R810" i="52"/>
  <c r="Q810" i="52"/>
  <c r="P810" i="52"/>
  <c r="M810" i="52"/>
  <c r="W809" i="52"/>
  <c r="V809" i="52"/>
  <c r="U809" i="52"/>
  <c r="T809" i="52"/>
  <c r="P809" i="52"/>
  <c r="M809" i="52"/>
  <c r="G809" i="52"/>
  <c r="F809" i="52"/>
  <c r="R809" i="52" s="1"/>
  <c r="W808" i="52"/>
  <c r="V808" i="52"/>
  <c r="U808" i="52"/>
  <c r="T808" i="52"/>
  <c r="R808" i="52"/>
  <c r="Q808" i="52"/>
  <c r="P808" i="52"/>
  <c r="M808" i="52"/>
  <c r="W807" i="52"/>
  <c r="V807" i="52"/>
  <c r="U807" i="52"/>
  <c r="T807" i="52"/>
  <c r="R807" i="52"/>
  <c r="Q807" i="52"/>
  <c r="P807" i="52"/>
  <c r="M807" i="52"/>
  <c r="W806" i="52"/>
  <c r="V806" i="52"/>
  <c r="U806" i="52"/>
  <c r="T806" i="52"/>
  <c r="R806" i="52"/>
  <c r="Q806" i="52"/>
  <c r="P806" i="52"/>
  <c r="M806" i="52"/>
  <c r="W805" i="52"/>
  <c r="V805" i="52"/>
  <c r="U805" i="52"/>
  <c r="T805" i="52"/>
  <c r="R805" i="52"/>
  <c r="Q805" i="52"/>
  <c r="P805" i="52"/>
  <c r="M805" i="52"/>
  <c r="W804" i="52"/>
  <c r="V804" i="52"/>
  <c r="U804" i="52"/>
  <c r="T804" i="52"/>
  <c r="P804" i="52"/>
  <c r="F804" i="52"/>
  <c r="R804" i="52" s="1"/>
  <c r="W803" i="52"/>
  <c r="V803" i="52"/>
  <c r="U803" i="52"/>
  <c r="T803" i="52"/>
  <c r="R803" i="52"/>
  <c r="Q803" i="52"/>
  <c r="P803" i="52"/>
  <c r="W802" i="52"/>
  <c r="V802" i="52"/>
  <c r="U802" i="52"/>
  <c r="T802" i="52"/>
  <c r="P802" i="52"/>
  <c r="M802" i="52"/>
  <c r="F802" i="52"/>
  <c r="Q802" i="52" s="1"/>
  <c r="W801" i="52"/>
  <c r="V801" i="52"/>
  <c r="U801" i="52"/>
  <c r="T801" i="52"/>
  <c r="R801" i="52"/>
  <c r="Q801" i="52"/>
  <c r="P801" i="52"/>
  <c r="M801" i="52"/>
  <c r="W800" i="52"/>
  <c r="V800" i="52"/>
  <c r="U800" i="52"/>
  <c r="T800" i="52"/>
  <c r="R800" i="52"/>
  <c r="Q800" i="52"/>
  <c r="P800" i="52"/>
  <c r="M800" i="52"/>
  <c r="W799" i="52"/>
  <c r="V799" i="52"/>
  <c r="U799" i="52"/>
  <c r="T799" i="52"/>
  <c r="R799" i="52"/>
  <c r="Q799" i="52"/>
  <c r="P799" i="52"/>
  <c r="M799" i="52"/>
  <c r="W798" i="52"/>
  <c r="V798" i="52"/>
  <c r="U798" i="52"/>
  <c r="T798" i="52"/>
  <c r="R798" i="52"/>
  <c r="Q798" i="52"/>
  <c r="P798" i="52"/>
  <c r="M798" i="52"/>
  <c r="W797" i="52"/>
  <c r="V797" i="52"/>
  <c r="U797" i="52"/>
  <c r="T797" i="52"/>
  <c r="R797" i="52"/>
  <c r="Q797" i="52"/>
  <c r="P797" i="52"/>
  <c r="M797" i="52"/>
  <c r="W796" i="52"/>
  <c r="V796" i="52"/>
  <c r="U796" i="52"/>
  <c r="T796" i="52"/>
  <c r="R796" i="52"/>
  <c r="Q796" i="52"/>
  <c r="P796" i="52"/>
  <c r="M796" i="52"/>
  <c r="W795" i="52"/>
  <c r="V795" i="52"/>
  <c r="U795" i="52"/>
  <c r="T795" i="52"/>
  <c r="R795" i="52"/>
  <c r="Q795" i="52"/>
  <c r="P795" i="52"/>
  <c r="M795" i="52"/>
  <c r="W794" i="52"/>
  <c r="V794" i="52"/>
  <c r="U794" i="52"/>
  <c r="T794" i="52"/>
  <c r="R794" i="52"/>
  <c r="Q794" i="52"/>
  <c r="P794" i="52"/>
  <c r="M794" i="52"/>
  <c r="W793" i="52"/>
  <c r="V793" i="52"/>
  <c r="U793" i="52"/>
  <c r="T793" i="52"/>
  <c r="R793" i="52"/>
  <c r="Q793" i="52"/>
  <c r="P793" i="52"/>
  <c r="M793" i="52"/>
  <c r="W792" i="52"/>
  <c r="V792" i="52"/>
  <c r="U792" i="52"/>
  <c r="T792" i="52"/>
  <c r="R792" i="52"/>
  <c r="Q792" i="52"/>
  <c r="P792" i="52"/>
  <c r="M792" i="52"/>
  <c r="W791" i="52"/>
  <c r="V791" i="52"/>
  <c r="U791" i="52"/>
  <c r="T791" i="52"/>
  <c r="R791" i="52"/>
  <c r="Q791" i="52"/>
  <c r="P791" i="52"/>
  <c r="M791" i="52"/>
  <c r="W790" i="52"/>
  <c r="V790" i="52"/>
  <c r="U790" i="52"/>
  <c r="T790" i="52"/>
  <c r="R790" i="52"/>
  <c r="Q790" i="52"/>
  <c r="P790" i="52"/>
  <c r="M790" i="52"/>
  <c r="W789" i="52"/>
  <c r="V789" i="52"/>
  <c r="U789" i="52"/>
  <c r="T789" i="52"/>
  <c r="R789" i="52"/>
  <c r="Q789" i="52"/>
  <c r="P789" i="52"/>
  <c r="M789" i="52"/>
  <c r="W788" i="52"/>
  <c r="V788" i="52"/>
  <c r="U788" i="52"/>
  <c r="T788" i="52"/>
  <c r="R788" i="52"/>
  <c r="Q788" i="52"/>
  <c r="P788" i="52"/>
  <c r="M788" i="52"/>
  <c r="W787" i="52"/>
  <c r="V787" i="52"/>
  <c r="U787" i="52"/>
  <c r="T787" i="52"/>
  <c r="R787" i="52"/>
  <c r="Q787" i="52"/>
  <c r="P787" i="52"/>
  <c r="M787" i="52"/>
  <c r="W786" i="52"/>
  <c r="V786" i="52"/>
  <c r="U786" i="52"/>
  <c r="T786" i="52"/>
  <c r="R786" i="52"/>
  <c r="Q786" i="52"/>
  <c r="P786" i="52"/>
  <c r="M786" i="52"/>
  <c r="W785" i="52"/>
  <c r="V785" i="52"/>
  <c r="U785" i="52"/>
  <c r="T785" i="52"/>
  <c r="R785" i="52"/>
  <c r="Q785" i="52"/>
  <c r="P785" i="52"/>
  <c r="M785" i="52"/>
  <c r="W784" i="52"/>
  <c r="V784" i="52"/>
  <c r="U784" i="52"/>
  <c r="T784" i="52"/>
  <c r="R784" i="52"/>
  <c r="Q784" i="52"/>
  <c r="P784" i="52"/>
  <c r="M784" i="52"/>
  <c r="W783" i="52"/>
  <c r="V783" i="52"/>
  <c r="U783" i="52"/>
  <c r="T783" i="52"/>
  <c r="R783" i="52"/>
  <c r="Q783" i="52"/>
  <c r="P783" i="52"/>
  <c r="M783" i="52"/>
  <c r="W782" i="52"/>
  <c r="V782" i="52"/>
  <c r="U782" i="52"/>
  <c r="T782" i="52"/>
  <c r="R782" i="52"/>
  <c r="Q782" i="52"/>
  <c r="P782" i="52"/>
  <c r="M782" i="52"/>
  <c r="W781" i="52"/>
  <c r="V781" i="52"/>
  <c r="U781" i="52"/>
  <c r="T781" i="52"/>
  <c r="R781" i="52"/>
  <c r="Q781" i="52"/>
  <c r="P781" i="52"/>
  <c r="M781" i="52"/>
  <c r="W780" i="52"/>
  <c r="V780" i="52"/>
  <c r="U780" i="52"/>
  <c r="T780" i="52"/>
  <c r="R780" i="52"/>
  <c r="Q780" i="52"/>
  <c r="P780" i="52"/>
  <c r="M780" i="52"/>
  <c r="W779" i="52"/>
  <c r="V779" i="52"/>
  <c r="U779" i="52"/>
  <c r="T779" i="52"/>
  <c r="R779" i="52"/>
  <c r="Q779" i="52"/>
  <c r="P779" i="52"/>
  <c r="M779" i="52"/>
  <c r="W778" i="52"/>
  <c r="V778" i="52"/>
  <c r="U778" i="52"/>
  <c r="T778" i="52"/>
  <c r="R778" i="52"/>
  <c r="Q778" i="52"/>
  <c r="P778" i="52"/>
  <c r="M778" i="52"/>
  <c r="W777" i="52"/>
  <c r="V777" i="52"/>
  <c r="U777" i="52"/>
  <c r="T777" i="52"/>
  <c r="R777" i="52"/>
  <c r="Q777" i="52"/>
  <c r="P777" i="52"/>
  <c r="M777" i="52"/>
  <c r="W776" i="52"/>
  <c r="V776" i="52"/>
  <c r="U776" i="52"/>
  <c r="T776" i="52"/>
  <c r="R776" i="52"/>
  <c r="Q776" i="52"/>
  <c r="P776" i="52"/>
  <c r="M776" i="52"/>
  <c r="W775" i="52"/>
  <c r="V775" i="52"/>
  <c r="U775" i="52"/>
  <c r="T775" i="52"/>
  <c r="R775" i="52"/>
  <c r="Q775" i="52"/>
  <c r="P775" i="52"/>
  <c r="M775" i="52"/>
  <c r="W774" i="52"/>
  <c r="V774" i="52"/>
  <c r="U774" i="52"/>
  <c r="T774" i="52"/>
  <c r="P774" i="52"/>
  <c r="M774" i="52"/>
  <c r="F774" i="52"/>
  <c r="R774" i="52" s="1"/>
  <c r="W773" i="52"/>
  <c r="V773" i="52"/>
  <c r="U773" i="52"/>
  <c r="T773" i="52"/>
  <c r="R773" i="52"/>
  <c r="Q773" i="52"/>
  <c r="P773" i="52"/>
  <c r="M773" i="52"/>
  <c r="W772" i="52"/>
  <c r="V772" i="52"/>
  <c r="U772" i="52"/>
  <c r="T772" i="52"/>
  <c r="R772" i="52"/>
  <c r="Q772" i="52"/>
  <c r="P772" i="52"/>
  <c r="M772" i="52"/>
  <c r="W771" i="52"/>
  <c r="V771" i="52"/>
  <c r="U771" i="52"/>
  <c r="T771" i="52"/>
  <c r="R771" i="52"/>
  <c r="Q771" i="52"/>
  <c r="P771" i="52"/>
  <c r="M771" i="52"/>
  <c r="W770" i="52"/>
  <c r="V770" i="52"/>
  <c r="U770" i="52"/>
  <c r="T770" i="52"/>
  <c r="R770" i="52"/>
  <c r="Q770" i="52"/>
  <c r="P770" i="52"/>
  <c r="M770" i="52"/>
  <c r="W769" i="52"/>
  <c r="V769" i="52"/>
  <c r="U769" i="52"/>
  <c r="T769" i="52"/>
  <c r="R769" i="52"/>
  <c r="Q769" i="52"/>
  <c r="P769" i="52"/>
  <c r="M769" i="52"/>
  <c r="W768" i="52"/>
  <c r="V768" i="52"/>
  <c r="U768" i="52"/>
  <c r="T768" i="52"/>
  <c r="R768" i="52"/>
  <c r="Q768" i="52"/>
  <c r="P768" i="52"/>
  <c r="M768" i="52"/>
  <c r="W767" i="52"/>
  <c r="V767" i="52"/>
  <c r="U767" i="52"/>
  <c r="T767" i="52"/>
  <c r="R767" i="52"/>
  <c r="Q767" i="52"/>
  <c r="P767" i="52"/>
  <c r="M767" i="52"/>
  <c r="W766" i="52"/>
  <c r="V766" i="52"/>
  <c r="U766" i="52"/>
  <c r="T766" i="52"/>
  <c r="R766" i="52"/>
  <c r="Q766" i="52"/>
  <c r="P766" i="52"/>
  <c r="M766" i="52"/>
  <c r="W765" i="52"/>
  <c r="V765" i="52"/>
  <c r="U765" i="52"/>
  <c r="T765" i="52"/>
  <c r="R765" i="52"/>
  <c r="Q765" i="52"/>
  <c r="P765" i="52"/>
  <c r="M765" i="52"/>
  <c r="W764" i="52"/>
  <c r="V764" i="52"/>
  <c r="U764" i="52"/>
  <c r="T764" i="52"/>
  <c r="R764" i="52"/>
  <c r="Q764" i="52"/>
  <c r="P764" i="52"/>
  <c r="M764" i="52"/>
  <c r="W763" i="52"/>
  <c r="V763" i="52"/>
  <c r="U763" i="52"/>
  <c r="T763" i="52"/>
  <c r="R763" i="52"/>
  <c r="Q763" i="52"/>
  <c r="P763" i="52"/>
  <c r="M763" i="52"/>
  <c r="W762" i="52"/>
  <c r="V762" i="52"/>
  <c r="U762" i="52"/>
  <c r="T762" i="52"/>
  <c r="R762" i="52"/>
  <c r="Q762" i="52"/>
  <c r="P762" i="52"/>
  <c r="M762" i="52"/>
  <c r="W761" i="52"/>
  <c r="V761" i="52"/>
  <c r="U761" i="52"/>
  <c r="T761" i="52"/>
  <c r="R761" i="52"/>
  <c r="Q761" i="52"/>
  <c r="P761" i="52"/>
  <c r="M761" i="52"/>
  <c r="W760" i="52"/>
  <c r="V760" i="52"/>
  <c r="U760" i="52"/>
  <c r="T760" i="52"/>
  <c r="R760" i="52"/>
  <c r="Q760" i="52"/>
  <c r="P760" i="52"/>
  <c r="M760" i="52"/>
  <c r="W759" i="52"/>
  <c r="V759" i="52"/>
  <c r="U759" i="52"/>
  <c r="T759" i="52"/>
  <c r="R759" i="52"/>
  <c r="Q759" i="52"/>
  <c r="P759" i="52"/>
  <c r="M759" i="52"/>
  <c r="W758" i="52"/>
  <c r="V758" i="52"/>
  <c r="U758" i="52"/>
  <c r="T758" i="52"/>
  <c r="R758" i="52"/>
  <c r="Q758" i="52"/>
  <c r="P758" i="52"/>
  <c r="M758" i="52"/>
  <c r="W757" i="52"/>
  <c r="V757" i="52"/>
  <c r="U757" i="52"/>
  <c r="T757" i="52"/>
  <c r="R757" i="52"/>
  <c r="Q757" i="52"/>
  <c r="P757" i="52"/>
  <c r="M757" i="52"/>
  <c r="W756" i="52"/>
  <c r="V756" i="52"/>
  <c r="U756" i="52"/>
  <c r="T756" i="52"/>
  <c r="R756" i="52"/>
  <c r="Q756" i="52"/>
  <c r="P756" i="52"/>
  <c r="M756" i="52"/>
  <c r="W755" i="52"/>
  <c r="V755" i="52"/>
  <c r="U755" i="52"/>
  <c r="T755" i="52"/>
  <c r="R755" i="52"/>
  <c r="Q755" i="52"/>
  <c r="P755" i="52"/>
  <c r="M755" i="52"/>
  <c r="W754" i="52"/>
  <c r="V754" i="52"/>
  <c r="U754" i="52"/>
  <c r="T754" i="52"/>
  <c r="R754" i="52"/>
  <c r="Q754" i="52"/>
  <c r="P754" i="52"/>
  <c r="M754" i="52"/>
  <c r="W753" i="52"/>
  <c r="V753" i="52"/>
  <c r="U753" i="52"/>
  <c r="T753" i="52"/>
  <c r="R753" i="52"/>
  <c r="Q753" i="52"/>
  <c r="P753" i="52"/>
  <c r="M753" i="52"/>
  <c r="W752" i="52"/>
  <c r="V752" i="52"/>
  <c r="U752" i="52"/>
  <c r="T752" i="52"/>
  <c r="R752" i="52"/>
  <c r="Q752" i="52"/>
  <c r="P752" i="52"/>
  <c r="M752" i="52"/>
  <c r="W751" i="52"/>
  <c r="V751" i="52"/>
  <c r="U751" i="52"/>
  <c r="T751" i="52"/>
  <c r="R751" i="52"/>
  <c r="Q751" i="52"/>
  <c r="P751" i="52"/>
  <c r="M751" i="52"/>
  <c r="W750" i="52"/>
  <c r="V750" i="52"/>
  <c r="U750" i="52"/>
  <c r="T750" i="52"/>
  <c r="R750" i="52"/>
  <c r="Q750" i="52"/>
  <c r="P750" i="52"/>
  <c r="M750" i="52"/>
  <c r="W749" i="52"/>
  <c r="V749" i="52"/>
  <c r="U749" i="52"/>
  <c r="T749" i="52"/>
  <c r="R749" i="52"/>
  <c r="Q749" i="52"/>
  <c r="P749" i="52"/>
  <c r="M749" i="52"/>
  <c r="W748" i="52"/>
  <c r="V748" i="52"/>
  <c r="U748" i="52"/>
  <c r="T748" i="52"/>
  <c r="R748" i="52"/>
  <c r="Q748" i="52"/>
  <c r="P748" i="52"/>
  <c r="M748" i="52"/>
  <c r="W747" i="52"/>
  <c r="V747" i="52"/>
  <c r="U747" i="52"/>
  <c r="T747" i="52"/>
  <c r="R747" i="52"/>
  <c r="Q747" i="52"/>
  <c r="P747" i="52"/>
  <c r="M747" i="52"/>
  <c r="W746" i="52"/>
  <c r="V746" i="52"/>
  <c r="U746" i="52"/>
  <c r="T746" i="52"/>
  <c r="R746" i="52"/>
  <c r="Q746" i="52"/>
  <c r="P746" i="52"/>
  <c r="M746" i="52"/>
  <c r="W745" i="52"/>
  <c r="V745" i="52"/>
  <c r="U745" i="52"/>
  <c r="T745" i="52"/>
  <c r="R745" i="52"/>
  <c r="Q745" i="52"/>
  <c r="P745" i="52"/>
  <c r="M745" i="52"/>
  <c r="W744" i="52"/>
  <c r="V744" i="52"/>
  <c r="U744" i="52"/>
  <c r="T744" i="52"/>
  <c r="R744" i="52"/>
  <c r="Q744" i="52"/>
  <c r="P744" i="52"/>
  <c r="M744" i="52"/>
  <c r="W743" i="52"/>
  <c r="V743" i="52"/>
  <c r="U743" i="52"/>
  <c r="T743" i="52"/>
  <c r="R743" i="52"/>
  <c r="Q743" i="52"/>
  <c r="P743" i="52"/>
  <c r="M743" i="52"/>
  <c r="W742" i="52"/>
  <c r="V742" i="52"/>
  <c r="U742" i="52"/>
  <c r="T742" i="52"/>
  <c r="R742" i="52"/>
  <c r="Q742" i="52"/>
  <c r="P742" i="52"/>
  <c r="M742" i="52"/>
  <c r="W741" i="52"/>
  <c r="V741" i="52"/>
  <c r="U741" i="52"/>
  <c r="T741" i="52"/>
  <c r="R741" i="52"/>
  <c r="Q741" i="52"/>
  <c r="P741" i="52"/>
  <c r="M741" i="52"/>
  <c r="W740" i="52"/>
  <c r="V740" i="52"/>
  <c r="U740" i="52"/>
  <c r="T740" i="52"/>
  <c r="R740" i="52"/>
  <c r="Q740" i="52"/>
  <c r="P740" i="52"/>
  <c r="M740" i="52"/>
  <c r="W739" i="52"/>
  <c r="V739" i="52"/>
  <c r="U739" i="52"/>
  <c r="T739" i="52"/>
  <c r="R739" i="52"/>
  <c r="Q739" i="52"/>
  <c r="P739" i="52"/>
  <c r="M739" i="52"/>
  <c r="W738" i="52"/>
  <c r="V738" i="52"/>
  <c r="U738" i="52"/>
  <c r="T738" i="52"/>
  <c r="R738" i="52"/>
  <c r="Q738" i="52"/>
  <c r="P738" i="52"/>
  <c r="M738" i="52"/>
  <c r="W737" i="52"/>
  <c r="V737" i="52"/>
  <c r="U737" i="52"/>
  <c r="T737" i="52"/>
  <c r="R737" i="52"/>
  <c r="Q737" i="52"/>
  <c r="P737" i="52"/>
  <c r="M737" i="52"/>
  <c r="W736" i="52"/>
  <c r="V736" i="52"/>
  <c r="U736" i="52"/>
  <c r="T736" i="52"/>
  <c r="R736" i="52"/>
  <c r="Q736" i="52"/>
  <c r="P736" i="52"/>
  <c r="M736" i="52"/>
  <c r="W735" i="52"/>
  <c r="V735" i="52"/>
  <c r="U735" i="52"/>
  <c r="T735" i="52"/>
  <c r="R735" i="52"/>
  <c r="Q735" i="52"/>
  <c r="P735" i="52"/>
  <c r="M735" i="52"/>
  <c r="W734" i="52"/>
  <c r="V734" i="52"/>
  <c r="U734" i="52"/>
  <c r="T734" i="52"/>
  <c r="R734" i="52"/>
  <c r="Q734" i="52"/>
  <c r="P734" i="52"/>
  <c r="M734" i="52"/>
  <c r="W733" i="52"/>
  <c r="V733" i="52"/>
  <c r="U733" i="52"/>
  <c r="T733" i="52"/>
  <c r="R733" i="52"/>
  <c r="Q733" i="52"/>
  <c r="P733" i="52"/>
  <c r="M733" i="52"/>
  <c r="W732" i="52"/>
  <c r="V732" i="52"/>
  <c r="U732" i="52"/>
  <c r="T732" i="52"/>
  <c r="R732" i="52"/>
  <c r="Q732" i="52"/>
  <c r="P732" i="52"/>
  <c r="M732" i="52"/>
  <c r="W731" i="52"/>
  <c r="V731" i="52"/>
  <c r="U731" i="52"/>
  <c r="T731" i="52"/>
  <c r="R731" i="52"/>
  <c r="Q731" i="52"/>
  <c r="P731" i="52"/>
  <c r="M731" i="52"/>
  <c r="W730" i="52"/>
  <c r="V730" i="52"/>
  <c r="U730" i="52"/>
  <c r="T730" i="52"/>
  <c r="R730" i="52"/>
  <c r="Q730" i="52"/>
  <c r="P730" i="52"/>
  <c r="M730" i="52"/>
  <c r="W729" i="52"/>
  <c r="V729" i="52"/>
  <c r="U729" i="52"/>
  <c r="T729" i="52"/>
  <c r="R729" i="52"/>
  <c r="Q729" i="52"/>
  <c r="P729" i="52"/>
  <c r="M729" i="52"/>
  <c r="W728" i="52"/>
  <c r="V728" i="52"/>
  <c r="U728" i="52"/>
  <c r="T728" i="52"/>
  <c r="R728" i="52"/>
  <c r="Q728" i="52"/>
  <c r="P728" i="52"/>
  <c r="M728" i="52"/>
  <c r="W727" i="52"/>
  <c r="V727" i="52"/>
  <c r="U727" i="52"/>
  <c r="T727" i="52"/>
  <c r="R727" i="52"/>
  <c r="Q727" i="52"/>
  <c r="P727" i="52"/>
  <c r="M727" i="52"/>
  <c r="W726" i="52"/>
  <c r="V726" i="52"/>
  <c r="U726" i="52"/>
  <c r="T726" i="52"/>
  <c r="R726" i="52"/>
  <c r="Q726" i="52"/>
  <c r="P726" i="52"/>
  <c r="M726" i="52"/>
  <c r="W725" i="52"/>
  <c r="V725" i="52"/>
  <c r="U725" i="52"/>
  <c r="T725" i="52"/>
  <c r="R725" i="52"/>
  <c r="Q725" i="52"/>
  <c r="P725" i="52"/>
  <c r="M725" i="52"/>
  <c r="W724" i="52"/>
  <c r="V724" i="52"/>
  <c r="U724" i="52"/>
  <c r="T724" i="52"/>
  <c r="R724" i="52"/>
  <c r="Q724" i="52"/>
  <c r="P724" i="52"/>
  <c r="M724" i="52"/>
  <c r="W723" i="52"/>
  <c r="V723" i="52"/>
  <c r="U723" i="52"/>
  <c r="T723" i="52"/>
  <c r="R723" i="52"/>
  <c r="Q723" i="52"/>
  <c r="P723" i="52"/>
  <c r="M723" i="52"/>
  <c r="W722" i="52"/>
  <c r="V722" i="52"/>
  <c r="U722" i="52"/>
  <c r="T722" i="52"/>
  <c r="R722" i="52"/>
  <c r="Q722" i="52"/>
  <c r="P722" i="52"/>
  <c r="M722" i="52"/>
  <c r="W721" i="52"/>
  <c r="V721" i="52"/>
  <c r="U721" i="52"/>
  <c r="T721" i="52"/>
  <c r="R721" i="52"/>
  <c r="Q721" i="52"/>
  <c r="P721" i="52"/>
  <c r="M721" i="52"/>
  <c r="W720" i="52"/>
  <c r="V720" i="52"/>
  <c r="U720" i="52"/>
  <c r="T720" i="52"/>
  <c r="R720" i="52"/>
  <c r="Q720" i="52"/>
  <c r="P720" i="52"/>
  <c r="M720" i="52"/>
  <c r="W719" i="52"/>
  <c r="V719" i="52"/>
  <c r="U719" i="52"/>
  <c r="T719" i="52"/>
  <c r="R719" i="52"/>
  <c r="Q719" i="52"/>
  <c r="P719" i="52"/>
  <c r="M719" i="52"/>
  <c r="W718" i="52"/>
  <c r="V718" i="52"/>
  <c r="U718" i="52"/>
  <c r="T718" i="52"/>
  <c r="R718" i="52"/>
  <c r="Q718" i="52"/>
  <c r="P718" i="52"/>
  <c r="M718" i="52"/>
  <c r="W717" i="52"/>
  <c r="V717" i="52"/>
  <c r="U717" i="52"/>
  <c r="T717" i="52"/>
  <c r="R717" i="52"/>
  <c r="Q717" i="52"/>
  <c r="P717" i="52"/>
  <c r="M717" i="52"/>
  <c r="W716" i="52"/>
  <c r="V716" i="52"/>
  <c r="U716" i="52"/>
  <c r="T716" i="52"/>
  <c r="R716" i="52"/>
  <c r="Q716" i="52"/>
  <c r="P716" i="52"/>
  <c r="M716" i="52"/>
  <c r="W715" i="52"/>
  <c r="V715" i="52"/>
  <c r="U715" i="52"/>
  <c r="T715" i="52"/>
  <c r="R715" i="52"/>
  <c r="Q715" i="52"/>
  <c r="P715" i="52"/>
  <c r="M715" i="52"/>
  <c r="W714" i="52"/>
  <c r="V714" i="52"/>
  <c r="U714" i="52"/>
  <c r="T714" i="52"/>
  <c r="R714" i="52"/>
  <c r="Q714" i="52"/>
  <c r="P714" i="52"/>
  <c r="M714" i="52"/>
  <c r="W713" i="52"/>
  <c r="V713" i="52"/>
  <c r="U713" i="52"/>
  <c r="T713" i="52"/>
  <c r="R713" i="52"/>
  <c r="Q713" i="52"/>
  <c r="P713" i="52"/>
  <c r="M713" i="52"/>
  <c r="W712" i="52"/>
  <c r="V712" i="52"/>
  <c r="U712" i="52"/>
  <c r="T712" i="52"/>
  <c r="R712" i="52"/>
  <c r="Q712" i="52"/>
  <c r="P712" i="52"/>
  <c r="M712" i="52"/>
  <c r="W711" i="52"/>
  <c r="V711" i="52"/>
  <c r="U711" i="52"/>
  <c r="T711" i="52"/>
  <c r="R711" i="52"/>
  <c r="Q711" i="52"/>
  <c r="P711" i="52"/>
  <c r="M711" i="52"/>
  <c r="W710" i="52"/>
  <c r="V710" i="52"/>
  <c r="U710" i="52"/>
  <c r="T710" i="52"/>
  <c r="R710" i="52"/>
  <c r="Q710" i="52"/>
  <c r="P710" i="52"/>
  <c r="M710" i="52"/>
  <c r="W709" i="52"/>
  <c r="V709" i="52"/>
  <c r="U709" i="52"/>
  <c r="T709" i="52"/>
  <c r="R709" i="52"/>
  <c r="Q709" i="52"/>
  <c r="P709" i="52"/>
  <c r="M709" i="52"/>
  <c r="W708" i="52"/>
  <c r="V708" i="52"/>
  <c r="U708" i="52"/>
  <c r="T708" i="52"/>
  <c r="R708" i="52"/>
  <c r="Q708" i="52"/>
  <c r="P708" i="52"/>
  <c r="M708" i="52"/>
  <c r="W707" i="52"/>
  <c r="V707" i="52"/>
  <c r="U707" i="52"/>
  <c r="T707" i="52"/>
  <c r="R707" i="52"/>
  <c r="Q707" i="52"/>
  <c r="P707" i="52"/>
  <c r="M707" i="52"/>
  <c r="W706" i="52"/>
  <c r="V706" i="52"/>
  <c r="U706" i="52"/>
  <c r="T706" i="52"/>
  <c r="R706" i="52"/>
  <c r="Q706" i="52"/>
  <c r="P706" i="52"/>
  <c r="M706" i="52"/>
  <c r="W705" i="52"/>
  <c r="V705" i="52"/>
  <c r="U705" i="52"/>
  <c r="T705" i="52"/>
  <c r="R705" i="52"/>
  <c r="Q705" i="52"/>
  <c r="P705" i="52"/>
  <c r="M705" i="52"/>
  <c r="W704" i="52"/>
  <c r="V704" i="52"/>
  <c r="U704" i="52"/>
  <c r="T704" i="52"/>
  <c r="R704" i="52"/>
  <c r="Q704" i="52"/>
  <c r="P704" i="52"/>
  <c r="M704" i="52"/>
  <c r="W703" i="52"/>
  <c r="V703" i="52"/>
  <c r="U703" i="52"/>
  <c r="T703" i="52"/>
  <c r="R703" i="52"/>
  <c r="Q703" i="52"/>
  <c r="P703" i="52"/>
  <c r="M703" i="52"/>
  <c r="W702" i="52"/>
  <c r="V702" i="52"/>
  <c r="U702" i="52"/>
  <c r="T702" i="52"/>
  <c r="R702" i="52"/>
  <c r="Q702" i="52"/>
  <c r="P702" i="52"/>
  <c r="M702" i="52"/>
  <c r="W701" i="52"/>
  <c r="V701" i="52"/>
  <c r="U701" i="52"/>
  <c r="T701" i="52"/>
  <c r="R701" i="52"/>
  <c r="Q701" i="52"/>
  <c r="P701" i="52"/>
  <c r="M701" i="52"/>
  <c r="W700" i="52"/>
  <c r="V700" i="52"/>
  <c r="U700" i="52"/>
  <c r="T700" i="52"/>
  <c r="R700" i="52"/>
  <c r="Q700" i="52"/>
  <c r="P700" i="52"/>
  <c r="M700" i="52"/>
  <c r="W699" i="52"/>
  <c r="V699" i="52"/>
  <c r="U699" i="52"/>
  <c r="T699" i="52"/>
  <c r="R699" i="52"/>
  <c r="Q699" i="52"/>
  <c r="P699" i="52"/>
  <c r="M699" i="52"/>
  <c r="W698" i="52"/>
  <c r="V698" i="52"/>
  <c r="U698" i="52"/>
  <c r="T698" i="52"/>
  <c r="R698" i="52"/>
  <c r="Q698" i="52"/>
  <c r="P698" i="52"/>
  <c r="M698" i="52"/>
  <c r="W697" i="52"/>
  <c r="V697" i="52"/>
  <c r="U697" i="52"/>
  <c r="T697" i="52"/>
  <c r="R697" i="52"/>
  <c r="Q697" i="52"/>
  <c r="P697" i="52"/>
  <c r="M697" i="52"/>
  <c r="W696" i="52"/>
  <c r="V696" i="52"/>
  <c r="U696" i="52"/>
  <c r="T696" i="52"/>
  <c r="R696" i="52"/>
  <c r="Q696" i="52"/>
  <c r="P696" i="52"/>
  <c r="M696" i="52"/>
  <c r="W695" i="52"/>
  <c r="V695" i="52"/>
  <c r="U695" i="52"/>
  <c r="T695" i="52"/>
  <c r="R695" i="52"/>
  <c r="Q695" i="52"/>
  <c r="P695" i="52"/>
  <c r="M695" i="52"/>
  <c r="W694" i="52"/>
  <c r="V694" i="52"/>
  <c r="U694" i="52"/>
  <c r="T694" i="52"/>
  <c r="R694" i="52"/>
  <c r="Q694" i="52"/>
  <c r="P694" i="52"/>
  <c r="M694" i="52"/>
  <c r="W693" i="52"/>
  <c r="V693" i="52"/>
  <c r="U693" i="52"/>
  <c r="T693" i="52"/>
  <c r="R693" i="52"/>
  <c r="Q693" i="52"/>
  <c r="P693" i="52"/>
  <c r="M693" i="52"/>
  <c r="W692" i="52"/>
  <c r="V692" i="52"/>
  <c r="U692" i="52"/>
  <c r="T692" i="52"/>
  <c r="R692" i="52"/>
  <c r="Q692" i="52"/>
  <c r="P692" i="52"/>
  <c r="M692" i="52"/>
  <c r="W691" i="52"/>
  <c r="V691" i="52"/>
  <c r="U691" i="52"/>
  <c r="T691" i="52"/>
  <c r="R691" i="52"/>
  <c r="Q691" i="52"/>
  <c r="P691" i="52"/>
  <c r="M691" i="52"/>
  <c r="W690" i="52"/>
  <c r="V690" i="52"/>
  <c r="U690" i="52"/>
  <c r="T690" i="52"/>
  <c r="R690" i="52"/>
  <c r="Q690" i="52"/>
  <c r="P690" i="52"/>
  <c r="M690" i="52"/>
  <c r="W689" i="52"/>
  <c r="V689" i="52"/>
  <c r="U689" i="52"/>
  <c r="T689" i="52"/>
  <c r="R689" i="52"/>
  <c r="Q689" i="52"/>
  <c r="P689" i="52"/>
  <c r="M689" i="52"/>
  <c r="W688" i="52"/>
  <c r="V688" i="52"/>
  <c r="U688" i="52"/>
  <c r="T688" i="52"/>
  <c r="R688" i="52"/>
  <c r="Q688" i="52"/>
  <c r="P688" i="52"/>
  <c r="M688" i="52"/>
  <c r="W687" i="52"/>
  <c r="V687" i="52"/>
  <c r="U687" i="52"/>
  <c r="T687" i="52"/>
  <c r="R687" i="52"/>
  <c r="Q687" i="52"/>
  <c r="P687" i="52"/>
  <c r="M687" i="52"/>
  <c r="W686" i="52"/>
  <c r="V686" i="52"/>
  <c r="U686" i="52"/>
  <c r="T686" i="52"/>
  <c r="R686" i="52"/>
  <c r="Q686" i="52"/>
  <c r="P686" i="52"/>
  <c r="M686" i="52"/>
  <c r="W685" i="52"/>
  <c r="V685" i="52"/>
  <c r="U685" i="52"/>
  <c r="T685" i="52"/>
  <c r="R685" i="52"/>
  <c r="Q685" i="52"/>
  <c r="P685" i="52"/>
  <c r="M685" i="52"/>
  <c r="W684" i="52"/>
  <c r="V684" i="52"/>
  <c r="U684" i="52"/>
  <c r="T684" i="52"/>
  <c r="R684" i="52"/>
  <c r="Q684" i="52"/>
  <c r="P684" i="52"/>
  <c r="M684" i="52"/>
  <c r="W683" i="52"/>
  <c r="V683" i="52"/>
  <c r="U683" i="52"/>
  <c r="T683" i="52"/>
  <c r="R683" i="52"/>
  <c r="Q683" i="52"/>
  <c r="P683" i="52"/>
  <c r="M683" i="52"/>
  <c r="W682" i="52"/>
  <c r="V682" i="52"/>
  <c r="U682" i="52"/>
  <c r="T682" i="52"/>
  <c r="R682" i="52"/>
  <c r="Q682" i="52"/>
  <c r="P682" i="52"/>
  <c r="M682" i="52"/>
  <c r="W680" i="52"/>
  <c r="V680" i="52"/>
  <c r="U680" i="52"/>
  <c r="T680" i="52"/>
  <c r="R680" i="52"/>
  <c r="Q680" i="52"/>
  <c r="M680" i="52"/>
  <c r="U679" i="52"/>
  <c r="T679" i="52"/>
  <c r="R679" i="52"/>
  <c r="Q679" i="52"/>
  <c r="M679" i="52"/>
  <c r="U678" i="52"/>
  <c r="T678" i="52"/>
  <c r="M678" i="52"/>
  <c r="F678" i="52"/>
  <c r="Q678" i="52" s="1"/>
  <c r="U677" i="52"/>
  <c r="T677" i="52"/>
  <c r="M677" i="52"/>
  <c r="F677" i="52"/>
  <c r="R677" i="52" s="1"/>
  <c r="U676" i="52"/>
  <c r="T676" i="52"/>
  <c r="R676" i="52"/>
  <c r="Q676" i="52"/>
  <c r="M676" i="52"/>
  <c r="U675" i="52"/>
  <c r="T675" i="52"/>
  <c r="M675" i="52"/>
  <c r="R675" i="52"/>
  <c r="U674" i="52"/>
  <c r="T674" i="52"/>
  <c r="R674" i="52"/>
  <c r="Q674" i="52"/>
  <c r="M674" i="52"/>
  <c r="U673" i="52"/>
  <c r="T673" i="52"/>
  <c r="R673" i="52"/>
  <c r="Q673" i="52"/>
  <c r="M673" i="52"/>
  <c r="U672" i="52"/>
  <c r="T672" i="52"/>
  <c r="R672" i="52"/>
  <c r="Q672" i="52"/>
  <c r="M672" i="52"/>
  <c r="U671" i="52"/>
  <c r="T671" i="52"/>
  <c r="R671" i="52"/>
  <c r="Q671" i="52"/>
  <c r="M671" i="52"/>
  <c r="U670" i="52"/>
  <c r="T670" i="52"/>
  <c r="M670" i="52"/>
  <c r="F670" i="52"/>
  <c r="R670" i="52" s="1"/>
  <c r="U669" i="52"/>
  <c r="T669" i="52"/>
  <c r="M669" i="52"/>
  <c r="F669" i="52"/>
  <c r="R669" i="52" s="1"/>
  <c r="U668" i="52"/>
  <c r="T668" i="52"/>
  <c r="M668" i="52"/>
  <c r="F668" i="52"/>
  <c r="R668" i="52" s="1"/>
  <c r="W667" i="52"/>
  <c r="V667" i="52"/>
  <c r="U667" i="52"/>
  <c r="T667" i="52"/>
  <c r="R667" i="52"/>
  <c r="Q667" i="52"/>
  <c r="P667" i="52"/>
  <c r="M667" i="52"/>
  <c r="W664" i="52"/>
  <c r="V664" i="52"/>
  <c r="U664" i="52"/>
  <c r="T664" i="52"/>
  <c r="R664" i="52"/>
  <c r="Q664" i="52"/>
  <c r="P664" i="52"/>
  <c r="M664" i="52"/>
  <c r="U663" i="52"/>
  <c r="R663" i="52"/>
  <c r="Q663" i="52"/>
  <c r="M663" i="52"/>
  <c r="R662" i="52"/>
  <c r="Q662" i="52"/>
  <c r="R661" i="52"/>
  <c r="Q661" i="52"/>
  <c r="R660" i="52"/>
  <c r="F659" i="52"/>
  <c r="R659" i="52" s="1"/>
  <c r="R658" i="52"/>
  <c r="Q658" i="52"/>
  <c r="R657" i="52"/>
  <c r="Q657" i="52"/>
  <c r="R656" i="52"/>
  <c r="Q656" i="52"/>
  <c r="R655" i="52"/>
  <c r="Q655" i="52"/>
  <c r="F654" i="52"/>
  <c r="R654" i="52" s="1"/>
  <c r="W653" i="52"/>
  <c r="V653" i="52"/>
  <c r="U653" i="52"/>
  <c r="T653" i="52"/>
  <c r="P653" i="52"/>
  <c r="M653" i="52"/>
  <c r="F653" i="52"/>
  <c r="R653" i="52" s="1"/>
  <c r="W652" i="52"/>
  <c r="V652" i="52"/>
  <c r="U652" i="52"/>
  <c r="T652" i="52"/>
  <c r="P652" i="52"/>
  <c r="M652" i="52"/>
  <c r="R652" i="52"/>
  <c r="W651" i="52"/>
  <c r="V651" i="52"/>
  <c r="U651" i="52"/>
  <c r="T651" i="52"/>
  <c r="P651" i="52"/>
  <c r="M651" i="52"/>
  <c r="F651" i="52"/>
  <c r="R651" i="52" s="1"/>
  <c r="W650" i="52"/>
  <c r="V650" i="52"/>
  <c r="U650" i="52"/>
  <c r="T650" i="52"/>
  <c r="P650" i="52"/>
  <c r="M650" i="52"/>
  <c r="F650" i="52"/>
  <c r="R650" i="52" s="1"/>
  <c r="W649" i="52"/>
  <c r="V649" i="52"/>
  <c r="U649" i="52"/>
  <c r="T649" i="52"/>
  <c r="P649" i="52"/>
  <c r="M649" i="52"/>
  <c r="F649" i="52"/>
  <c r="R649" i="52" s="1"/>
  <c r="W648" i="52"/>
  <c r="V648" i="52"/>
  <c r="U648" i="52"/>
  <c r="T648" i="52"/>
  <c r="P648" i="52"/>
  <c r="M648" i="52"/>
  <c r="F648" i="52"/>
  <c r="R648" i="52" s="1"/>
  <c r="W647" i="52"/>
  <c r="V647" i="52"/>
  <c r="U647" i="52"/>
  <c r="T647" i="52"/>
  <c r="R647" i="52"/>
  <c r="Q647" i="52"/>
  <c r="P647" i="52"/>
  <c r="M647" i="52"/>
  <c r="W646" i="52"/>
  <c r="V646" i="52"/>
  <c r="U646" i="52"/>
  <c r="T646" i="52"/>
  <c r="R646" i="52"/>
  <c r="Q646" i="52"/>
  <c r="P646" i="52"/>
  <c r="M646" i="52"/>
  <c r="W645" i="52"/>
  <c r="V645" i="52"/>
  <c r="U645" i="52"/>
  <c r="R645" i="52"/>
  <c r="Q645" i="52"/>
  <c r="M645" i="52"/>
  <c r="W644" i="52"/>
  <c r="V644" i="52"/>
  <c r="U644" i="52"/>
  <c r="T644" i="52"/>
  <c r="R644" i="52"/>
  <c r="Q644" i="52"/>
  <c r="P644" i="52"/>
  <c r="M644" i="52"/>
  <c r="W643" i="52"/>
  <c r="V643" i="52"/>
  <c r="U643" i="52"/>
  <c r="T643" i="52"/>
  <c r="R643" i="52"/>
  <c r="Q643" i="52"/>
  <c r="P643" i="52"/>
  <c r="M643" i="52"/>
  <c r="W642" i="52"/>
  <c r="V642" i="52"/>
  <c r="U642" i="52"/>
  <c r="T642" i="52"/>
  <c r="P642" i="52"/>
  <c r="M642" i="52"/>
  <c r="F642" i="52"/>
  <c r="R642" i="52" s="1"/>
  <c r="W641" i="52"/>
  <c r="V641" i="52"/>
  <c r="U641" i="52"/>
  <c r="T641" i="52"/>
  <c r="R641" i="52"/>
  <c r="Q641" i="52"/>
  <c r="P641" i="52"/>
  <c r="M641" i="52"/>
  <c r="W640" i="52"/>
  <c r="V640" i="52"/>
  <c r="U640" i="52"/>
  <c r="T640" i="52"/>
  <c r="P640" i="52"/>
  <c r="M640" i="52"/>
  <c r="F640" i="52"/>
  <c r="R640" i="52" s="1"/>
  <c r="W639" i="52"/>
  <c r="V639" i="52"/>
  <c r="U639" i="52"/>
  <c r="T639" i="52"/>
  <c r="R639" i="52"/>
  <c r="Q639" i="52"/>
  <c r="P639" i="52"/>
  <c r="M639" i="52"/>
  <c r="W638" i="52"/>
  <c r="V638" i="52"/>
  <c r="U638" i="52"/>
  <c r="T638" i="52"/>
  <c r="P638" i="52"/>
  <c r="M638" i="52"/>
  <c r="R638" i="52"/>
  <c r="W637" i="52"/>
  <c r="V637" i="52"/>
  <c r="U637" i="52"/>
  <c r="T637" i="52"/>
  <c r="R637" i="52"/>
  <c r="Q637" i="52"/>
  <c r="P637" i="52"/>
  <c r="M637" i="52"/>
  <c r="W636" i="52"/>
  <c r="V636" i="52"/>
  <c r="U636" i="52"/>
  <c r="M636" i="52"/>
  <c r="F636" i="52"/>
  <c r="R636" i="52" s="1"/>
  <c r="W635" i="52"/>
  <c r="V635" i="52"/>
  <c r="U635" i="52"/>
  <c r="T635" i="52"/>
  <c r="P635" i="52"/>
  <c r="M635" i="52"/>
  <c r="F635" i="52"/>
  <c r="R635" i="52" s="1"/>
  <c r="W634" i="52"/>
  <c r="V634" i="52"/>
  <c r="U634" i="52"/>
  <c r="T634" i="52"/>
  <c r="R634" i="52"/>
  <c r="Q634" i="52"/>
  <c r="P634" i="52"/>
  <c r="M634" i="52"/>
  <c r="W633" i="52"/>
  <c r="V633" i="52"/>
  <c r="U633" i="52"/>
  <c r="T633" i="52"/>
  <c r="P633" i="52"/>
  <c r="M633" i="52"/>
  <c r="F633" i="52"/>
  <c r="R633" i="52" s="1"/>
  <c r="W632" i="52"/>
  <c r="V632" i="52"/>
  <c r="U632" i="52"/>
  <c r="T632" i="52"/>
  <c r="P632" i="52"/>
  <c r="M632" i="52"/>
  <c r="F632" i="52"/>
  <c r="R632" i="52" s="1"/>
  <c r="W631" i="52"/>
  <c r="V631" i="52"/>
  <c r="U631" i="52"/>
  <c r="T631" i="52"/>
  <c r="R631" i="52"/>
  <c r="Q631" i="52"/>
  <c r="P631" i="52"/>
  <c r="M631" i="52"/>
  <c r="U630" i="52"/>
  <c r="M630" i="52"/>
  <c r="F630" i="52"/>
  <c r="R630" i="52" s="1"/>
  <c r="W629" i="52"/>
  <c r="V629" i="52"/>
  <c r="U629" i="52"/>
  <c r="T629" i="52"/>
  <c r="P629" i="52"/>
  <c r="M629" i="52"/>
  <c r="F629" i="52"/>
  <c r="R629" i="52" s="1"/>
  <c r="W628" i="52"/>
  <c r="V628" i="52"/>
  <c r="U628" i="52"/>
  <c r="T628" i="52"/>
  <c r="R628" i="52"/>
  <c r="Q628" i="52"/>
  <c r="P628" i="52"/>
  <c r="M628" i="52"/>
  <c r="W627" i="52"/>
  <c r="V627" i="52"/>
  <c r="U627" i="52"/>
  <c r="R627" i="52"/>
  <c r="Q627" i="52"/>
  <c r="M627" i="52"/>
  <c r="W626" i="52"/>
  <c r="V626" i="52"/>
  <c r="U626" i="52"/>
  <c r="T626" i="52"/>
  <c r="R626" i="52"/>
  <c r="Q626" i="52"/>
  <c r="P626" i="52"/>
  <c r="W625" i="52"/>
  <c r="V625" i="52"/>
  <c r="U625" i="52"/>
  <c r="T625" i="52"/>
  <c r="P625" i="52"/>
  <c r="M625" i="52"/>
  <c r="F625" i="52"/>
  <c r="R625" i="52" s="1"/>
  <c r="W624" i="52"/>
  <c r="V624" i="52"/>
  <c r="U624" i="52"/>
  <c r="T624" i="52"/>
  <c r="R624" i="52"/>
  <c r="Q624" i="52"/>
  <c r="P624" i="52"/>
  <c r="M624" i="52"/>
  <c r="W623" i="52"/>
  <c r="V623" i="52"/>
  <c r="U623" i="52"/>
  <c r="T623" i="52"/>
  <c r="P623" i="52"/>
  <c r="M623" i="52"/>
  <c r="R623" i="52"/>
  <c r="W622" i="52"/>
  <c r="V622" i="52"/>
  <c r="U622" i="52"/>
  <c r="T622" i="52"/>
  <c r="R622" i="52"/>
  <c r="Q622" i="52"/>
  <c r="P622" i="52"/>
  <c r="M622" i="52"/>
  <c r="W621" i="52"/>
  <c r="V621" i="52"/>
  <c r="U621" i="52"/>
  <c r="T621" i="52"/>
  <c r="P621" i="52"/>
  <c r="M621" i="52"/>
  <c r="F621" i="52"/>
  <c r="R621" i="52" s="1"/>
  <c r="W620" i="52"/>
  <c r="V620" i="52"/>
  <c r="U620" i="52"/>
  <c r="T620" i="52"/>
  <c r="P620" i="52"/>
  <c r="M620" i="52"/>
  <c r="R620" i="52"/>
  <c r="W619" i="52"/>
  <c r="V619" i="52"/>
  <c r="U619" i="52"/>
  <c r="T619" i="52"/>
  <c r="R619" i="52"/>
  <c r="Q619" i="52"/>
  <c r="P619" i="52"/>
  <c r="M619" i="52"/>
  <c r="W618" i="52"/>
  <c r="V618" i="52"/>
  <c r="U618" i="52"/>
  <c r="T618" i="52"/>
  <c r="P618" i="52"/>
  <c r="M618" i="52"/>
  <c r="F618" i="52"/>
  <c r="Q618" i="52" s="1"/>
  <c r="W617" i="52"/>
  <c r="V617" i="52"/>
  <c r="U617" i="52"/>
  <c r="T617" i="52"/>
  <c r="R617" i="52"/>
  <c r="Q617" i="52"/>
  <c r="P617" i="52"/>
  <c r="M617" i="52"/>
  <c r="W616" i="52"/>
  <c r="V616" i="52"/>
  <c r="U616" i="52"/>
  <c r="T616" i="52"/>
  <c r="P616" i="52"/>
  <c r="M616" i="52"/>
  <c r="F616" i="52"/>
  <c r="R616" i="52" s="1"/>
  <c r="W615" i="52"/>
  <c r="V615" i="52"/>
  <c r="U615" i="52"/>
  <c r="T615" i="52"/>
  <c r="P615" i="52"/>
  <c r="M615" i="52"/>
  <c r="F615" i="52"/>
  <c r="W614" i="52"/>
  <c r="V614" i="52"/>
  <c r="U614" i="52"/>
  <c r="T614" i="52"/>
  <c r="R614" i="52"/>
  <c r="Q614" i="52"/>
  <c r="P614" i="52"/>
  <c r="M614" i="52"/>
  <c r="W613" i="52"/>
  <c r="V613" i="52"/>
  <c r="U613" i="52"/>
  <c r="T613" i="52"/>
  <c r="R613" i="52"/>
  <c r="Q613" i="52"/>
  <c r="P613" i="52"/>
  <c r="M613" i="52"/>
  <c r="W612" i="52"/>
  <c r="V612" i="52"/>
  <c r="U612" i="52"/>
  <c r="T612" i="52"/>
  <c r="R612" i="52"/>
  <c r="Q612" i="52"/>
  <c r="P612" i="52"/>
  <c r="M612" i="52"/>
  <c r="W611" i="52"/>
  <c r="V611" i="52"/>
  <c r="U611" i="52"/>
  <c r="R611" i="52"/>
  <c r="Q611" i="52"/>
  <c r="M611" i="52"/>
  <c r="W610" i="52"/>
  <c r="V610" i="52"/>
  <c r="U610" i="52"/>
  <c r="T610" i="52"/>
  <c r="R610" i="52"/>
  <c r="Q610" i="52"/>
  <c r="P610" i="52"/>
  <c r="M610" i="52"/>
  <c r="W609" i="52"/>
  <c r="V609" i="52"/>
  <c r="U609" i="52"/>
  <c r="T609" i="52"/>
  <c r="R609" i="52"/>
  <c r="Q609" i="52"/>
  <c r="P609" i="52"/>
  <c r="M609" i="52"/>
  <c r="W608" i="52"/>
  <c r="V608" i="52"/>
  <c r="U608" i="52"/>
  <c r="T608" i="52"/>
  <c r="R608" i="52"/>
  <c r="Q608" i="52"/>
  <c r="P608" i="52"/>
  <c r="M608" i="52"/>
  <c r="W607" i="52"/>
  <c r="V607" i="52"/>
  <c r="U607" i="52"/>
  <c r="T607" i="52"/>
  <c r="P607" i="52"/>
  <c r="M607" i="52"/>
  <c r="R607" i="52"/>
  <c r="W606" i="52"/>
  <c r="V606" i="52"/>
  <c r="U606" i="52"/>
  <c r="T606" i="52"/>
  <c r="P606" i="52"/>
  <c r="M606" i="52"/>
  <c r="F606" i="52"/>
  <c r="R606" i="52" s="1"/>
  <c r="W605" i="52"/>
  <c r="V605" i="52"/>
  <c r="U605" i="52"/>
  <c r="T605" i="52"/>
  <c r="R605" i="52"/>
  <c r="Q605" i="52"/>
  <c r="P605" i="52"/>
  <c r="M605" i="52"/>
  <c r="W604" i="52"/>
  <c r="V604" i="52"/>
  <c r="U604" i="52"/>
  <c r="T604" i="52"/>
  <c r="R604" i="52"/>
  <c r="Q604" i="52"/>
  <c r="P604" i="52"/>
  <c r="M604" i="52"/>
  <c r="W603" i="52"/>
  <c r="V603" i="52"/>
  <c r="U603" i="52"/>
  <c r="T603" i="52"/>
  <c r="R603" i="52"/>
  <c r="P603" i="52"/>
  <c r="M603" i="52"/>
  <c r="E603" i="52"/>
  <c r="Q603" i="52" s="1"/>
  <c r="W602" i="52"/>
  <c r="V602" i="52"/>
  <c r="U602" i="52"/>
  <c r="T602" i="52"/>
  <c r="R602" i="52"/>
  <c r="P602" i="52"/>
  <c r="M602" i="52"/>
  <c r="E602" i="52"/>
  <c r="Q602" i="52" s="1"/>
  <c r="W601" i="52"/>
  <c r="V601" i="52"/>
  <c r="U601" i="52"/>
  <c r="T601" i="52"/>
  <c r="R601" i="52"/>
  <c r="P601" i="52"/>
  <c r="M601" i="52"/>
  <c r="E601" i="52"/>
  <c r="Q601" i="52" s="1"/>
  <c r="W600" i="52"/>
  <c r="V600" i="52"/>
  <c r="U600" i="52"/>
  <c r="T600" i="52"/>
  <c r="R600" i="52"/>
  <c r="Q600" i="52"/>
  <c r="P600" i="52"/>
  <c r="M600" i="52"/>
  <c r="W599" i="52"/>
  <c r="V599" i="52"/>
  <c r="U599" i="52"/>
  <c r="T599" i="52"/>
  <c r="R599" i="52"/>
  <c r="Q599" i="52"/>
  <c r="P599" i="52"/>
  <c r="M599" i="52"/>
  <c r="W598" i="52"/>
  <c r="V598" i="52"/>
  <c r="U598" i="52"/>
  <c r="T598" i="52"/>
  <c r="R598" i="52"/>
  <c r="Q598" i="52"/>
  <c r="P598" i="52"/>
  <c r="M598" i="52"/>
  <c r="W597" i="52"/>
  <c r="V597" i="52"/>
  <c r="U597" i="52"/>
  <c r="T597" i="52"/>
  <c r="R597" i="52"/>
  <c r="Q597" i="52"/>
  <c r="P597" i="52"/>
  <c r="M597" i="52"/>
  <c r="W596" i="52"/>
  <c r="V596" i="52"/>
  <c r="U596" i="52"/>
  <c r="T596" i="52"/>
  <c r="R596" i="52"/>
  <c r="Q596" i="52"/>
  <c r="P596" i="52"/>
  <c r="M596" i="52"/>
  <c r="W595" i="52"/>
  <c r="V595" i="52"/>
  <c r="U595" i="52"/>
  <c r="T595" i="52"/>
  <c r="R595" i="52"/>
  <c r="Q595" i="52"/>
  <c r="P595" i="52"/>
  <c r="M595" i="52"/>
  <c r="W594" i="52"/>
  <c r="V594" i="52"/>
  <c r="U594" i="52"/>
  <c r="R594" i="52"/>
  <c r="Q594" i="52"/>
  <c r="P594" i="52"/>
  <c r="M594" i="52"/>
  <c r="W593" i="52"/>
  <c r="V593" i="52"/>
  <c r="U593" i="52"/>
  <c r="T593" i="52"/>
  <c r="R593" i="52"/>
  <c r="Q593" i="52"/>
  <c r="P593" i="52"/>
  <c r="M593" i="52"/>
  <c r="W592" i="52"/>
  <c r="V592" i="52"/>
  <c r="U592" i="52"/>
  <c r="T592" i="52"/>
  <c r="P592" i="52"/>
  <c r="M592" i="52"/>
  <c r="R592" i="52"/>
  <c r="W591" i="52"/>
  <c r="V591" i="52"/>
  <c r="U591" i="52"/>
  <c r="T591" i="52"/>
  <c r="P591" i="52"/>
  <c r="M591" i="52"/>
  <c r="F591" i="52"/>
  <c r="Q591" i="52" s="1"/>
  <c r="W590" i="52"/>
  <c r="V590" i="52"/>
  <c r="U590" i="52"/>
  <c r="R590" i="52"/>
  <c r="Q590" i="52"/>
  <c r="P590" i="52"/>
  <c r="M590" i="52"/>
  <c r="W589" i="52"/>
  <c r="V589" i="52"/>
  <c r="U589" i="52"/>
  <c r="T589" i="52"/>
  <c r="R589" i="52"/>
  <c r="Q589" i="52"/>
  <c r="P589" i="52"/>
  <c r="M589" i="52"/>
  <c r="W588" i="52"/>
  <c r="V588" i="52"/>
  <c r="U588" i="52"/>
  <c r="T588" i="52"/>
  <c r="P588" i="52"/>
  <c r="M588" i="52"/>
  <c r="F588" i="52"/>
  <c r="R588" i="52" s="1"/>
  <c r="W587" i="52"/>
  <c r="V587" i="52"/>
  <c r="U587" i="52"/>
  <c r="T587" i="52"/>
  <c r="P587" i="52"/>
  <c r="M587" i="52"/>
  <c r="F587" i="52"/>
  <c r="R587" i="52" s="1"/>
  <c r="W586" i="52"/>
  <c r="V586" i="52"/>
  <c r="U586" i="52"/>
  <c r="T586" i="52"/>
  <c r="P586" i="52"/>
  <c r="M586" i="52"/>
  <c r="Q586" i="52"/>
  <c r="W585" i="52"/>
  <c r="V585" i="52"/>
  <c r="U585" i="52"/>
  <c r="T585" i="52"/>
  <c r="R585" i="52"/>
  <c r="Q585" i="52"/>
  <c r="P585" i="52"/>
  <c r="M585" i="52"/>
  <c r="W584" i="52"/>
  <c r="V584" i="52"/>
  <c r="U584" i="52"/>
  <c r="T584" i="52"/>
  <c r="R584" i="52"/>
  <c r="Q584" i="52"/>
  <c r="P584" i="52"/>
  <c r="M584" i="52"/>
  <c r="W583" i="52"/>
  <c r="V583" i="52"/>
  <c r="U583" i="52"/>
  <c r="T583" i="52"/>
  <c r="R583" i="52"/>
  <c r="Q583" i="52"/>
  <c r="P583" i="52"/>
  <c r="M583" i="52"/>
  <c r="W582" i="52"/>
  <c r="V582" i="52"/>
  <c r="U582" i="52"/>
  <c r="T582" i="52"/>
  <c r="R582" i="52"/>
  <c r="Q582" i="52"/>
  <c r="P582" i="52"/>
  <c r="M582" i="52"/>
  <c r="W581" i="52"/>
  <c r="V581" i="52"/>
  <c r="U581" i="52"/>
  <c r="T581" i="52"/>
  <c r="P581" i="52"/>
  <c r="M581" i="52"/>
  <c r="F581" i="52"/>
  <c r="R581" i="52" s="1"/>
  <c r="W580" i="52"/>
  <c r="V580" i="52"/>
  <c r="U580" i="52"/>
  <c r="T580" i="52"/>
  <c r="R580" i="52"/>
  <c r="Q580" i="52"/>
  <c r="P580" i="52"/>
  <c r="M580" i="52"/>
  <c r="W579" i="52"/>
  <c r="V579" i="52"/>
  <c r="U579" i="52"/>
  <c r="T579" i="52"/>
  <c r="R579" i="52"/>
  <c r="Q579" i="52"/>
  <c r="P579" i="52"/>
  <c r="M579" i="52"/>
  <c r="W578" i="52"/>
  <c r="V578" i="52"/>
  <c r="U578" i="52"/>
  <c r="T578" i="52"/>
  <c r="R578" i="52"/>
  <c r="Q578" i="52"/>
  <c r="P578" i="52"/>
  <c r="M578" i="52"/>
  <c r="W577" i="52"/>
  <c r="V577" i="52"/>
  <c r="U577" i="52"/>
  <c r="T577" i="52"/>
  <c r="R577" i="52"/>
  <c r="Q577" i="52"/>
  <c r="P577" i="52"/>
  <c r="M577" i="52"/>
  <c r="W576" i="52"/>
  <c r="V576" i="52"/>
  <c r="U576" i="52"/>
  <c r="T576" i="52"/>
  <c r="R576" i="52"/>
  <c r="Q576" i="52"/>
  <c r="P576" i="52"/>
  <c r="M576" i="52"/>
  <c r="W575" i="52"/>
  <c r="V575" i="52"/>
  <c r="U575" i="52"/>
  <c r="T575" i="52"/>
  <c r="R575" i="52"/>
  <c r="Q575" i="52"/>
  <c r="P575" i="52"/>
  <c r="M575" i="52"/>
  <c r="W574" i="52"/>
  <c r="V574" i="52"/>
  <c r="U574" i="52"/>
  <c r="T574" i="52"/>
  <c r="R574" i="52"/>
  <c r="Q574" i="52"/>
  <c r="P574" i="52"/>
  <c r="M574" i="52"/>
  <c r="W573" i="52"/>
  <c r="V573" i="52"/>
  <c r="U573" i="52"/>
  <c r="R573" i="52"/>
  <c r="Q573" i="52"/>
  <c r="P573" i="52"/>
  <c r="M573" i="52"/>
  <c r="W572" i="52"/>
  <c r="V572" i="52"/>
  <c r="U572" i="52"/>
  <c r="T572" i="52"/>
  <c r="P572" i="52"/>
  <c r="M572" i="52"/>
  <c r="F572" i="52"/>
  <c r="R572" i="52" s="1"/>
  <c r="R571" i="52"/>
  <c r="W570" i="52"/>
  <c r="V570" i="52"/>
  <c r="U570" i="52"/>
  <c r="T570" i="52"/>
  <c r="R570" i="52"/>
  <c r="Q570" i="52"/>
  <c r="P570" i="52"/>
  <c r="M570" i="52"/>
  <c r="W569" i="52"/>
  <c r="V569" i="52"/>
  <c r="U569" i="52"/>
  <c r="T569" i="52"/>
  <c r="R569" i="52"/>
  <c r="Q569" i="52"/>
  <c r="P569" i="52"/>
  <c r="M569" i="52"/>
  <c r="W568" i="52"/>
  <c r="V568" i="52"/>
  <c r="U568" i="52"/>
  <c r="T568" i="52"/>
  <c r="R568" i="52"/>
  <c r="Q568" i="52"/>
  <c r="P568" i="52"/>
  <c r="M568" i="52"/>
  <c r="W567" i="52"/>
  <c r="V567" i="52"/>
  <c r="U567" i="52"/>
  <c r="T567" i="52"/>
  <c r="R567" i="52"/>
  <c r="Q567" i="52"/>
  <c r="P567" i="52"/>
  <c r="M567" i="52"/>
  <c r="W566" i="52"/>
  <c r="V566" i="52"/>
  <c r="U566" i="52"/>
  <c r="T566" i="52"/>
  <c r="R566" i="52"/>
  <c r="Q566" i="52"/>
  <c r="P566" i="52"/>
  <c r="M566" i="52"/>
  <c r="W565" i="52"/>
  <c r="V565" i="52"/>
  <c r="U565" i="52"/>
  <c r="T565" i="52"/>
  <c r="R565" i="52"/>
  <c r="Q565" i="52"/>
  <c r="P565" i="52"/>
  <c r="M565" i="52"/>
  <c r="W564" i="52"/>
  <c r="V564" i="52"/>
  <c r="U564" i="52"/>
  <c r="T564" i="52"/>
  <c r="R564" i="52"/>
  <c r="Q564" i="52"/>
  <c r="P564" i="52"/>
  <c r="M564" i="52"/>
  <c r="W563" i="52"/>
  <c r="V563" i="52"/>
  <c r="U563" i="52"/>
  <c r="T563" i="52"/>
  <c r="R563" i="52"/>
  <c r="Q563" i="52"/>
  <c r="P563" i="52"/>
  <c r="M563" i="52"/>
  <c r="W562" i="52"/>
  <c r="V562" i="52"/>
  <c r="U562" i="52"/>
  <c r="T562" i="52"/>
  <c r="R562" i="52"/>
  <c r="Q562" i="52"/>
  <c r="P562" i="52"/>
  <c r="M562" i="52"/>
  <c r="W561" i="52"/>
  <c r="V561" i="52"/>
  <c r="U561" i="52"/>
  <c r="T561" i="52"/>
  <c r="R561" i="52"/>
  <c r="Q561" i="52"/>
  <c r="P561" i="52"/>
  <c r="M561" i="52"/>
  <c r="W560" i="52"/>
  <c r="V560" i="52"/>
  <c r="U560" i="52"/>
  <c r="T560" i="52"/>
  <c r="P560" i="52"/>
  <c r="M560" i="52"/>
  <c r="F560" i="52"/>
  <c r="R560" i="52" s="1"/>
  <c r="W559" i="52"/>
  <c r="V559" i="52"/>
  <c r="U559" i="52"/>
  <c r="T559" i="52"/>
  <c r="R559" i="52"/>
  <c r="Q559" i="52"/>
  <c r="P559" i="52"/>
  <c r="M559" i="52"/>
  <c r="M554" i="52"/>
  <c r="W553" i="52"/>
  <c r="V553" i="52"/>
  <c r="U553" i="52"/>
  <c r="M553" i="52"/>
  <c r="W552" i="52"/>
  <c r="V552" i="52"/>
  <c r="U552" i="52"/>
  <c r="T552" i="52"/>
  <c r="M552" i="52"/>
  <c r="W551" i="52"/>
  <c r="V551" i="52"/>
  <c r="U551" i="52"/>
  <c r="T551" i="52"/>
  <c r="W550" i="52"/>
  <c r="V550" i="52"/>
  <c r="U550" i="52"/>
  <c r="T550" i="52"/>
  <c r="P550" i="52"/>
  <c r="M550" i="52"/>
  <c r="W549" i="52"/>
  <c r="V549" i="52"/>
  <c r="U549" i="52"/>
  <c r="T549" i="52"/>
  <c r="P549" i="52"/>
  <c r="M549" i="52"/>
  <c r="F549" i="52"/>
  <c r="W548" i="52"/>
  <c r="V548" i="52"/>
  <c r="U548" i="52"/>
  <c r="T548" i="52"/>
  <c r="P548" i="52"/>
  <c r="M548" i="52"/>
  <c r="F548" i="52"/>
  <c r="R548" i="52" s="1"/>
  <c r="W547" i="52"/>
  <c r="V547" i="52"/>
  <c r="U547" i="52"/>
  <c r="T547" i="52"/>
  <c r="R547" i="52"/>
  <c r="Q547" i="52"/>
  <c r="P547" i="52"/>
  <c r="M547" i="52"/>
  <c r="W546" i="52"/>
  <c r="V546" i="52"/>
  <c r="U546" i="52"/>
  <c r="T546" i="52"/>
  <c r="R546" i="52"/>
  <c r="Q546" i="52"/>
  <c r="P546" i="52"/>
  <c r="M546" i="52"/>
  <c r="W545" i="52"/>
  <c r="V545" i="52"/>
  <c r="U545" i="52"/>
  <c r="T545" i="52"/>
  <c r="R545" i="52"/>
  <c r="Q545" i="52"/>
  <c r="P545" i="52"/>
  <c r="M545" i="52"/>
  <c r="W544" i="52"/>
  <c r="V544" i="52"/>
  <c r="U544" i="52"/>
  <c r="T544" i="52"/>
  <c r="R544" i="52"/>
  <c r="Q544" i="52"/>
  <c r="P544" i="52"/>
  <c r="M544" i="52"/>
  <c r="W543" i="52"/>
  <c r="V543" i="52"/>
  <c r="U543" i="52"/>
  <c r="T543" i="52"/>
  <c r="R543" i="52"/>
  <c r="Q543" i="52"/>
  <c r="P543" i="52"/>
  <c r="M543" i="52"/>
  <c r="W542" i="52"/>
  <c r="V542" i="52"/>
  <c r="U542" i="52"/>
  <c r="T542" i="52"/>
  <c r="R542" i="52"/>
  <c r="Q542" i="52"/>
  <c r="P542" i="52"/>
  <c r="M542" i="52"/>
  <c r="W541" i="52"/>
  <c r="V541" i="52"/>
  <c r="U541" i="52"/>
  <c r="T541" i="52"/>
  <c r="R541" i="52"/>
  <c r="Q541" i="52"/>
  <c r="P541" i="52"/>
  <c r="M541" i="52"/>
  <c r="W540" i="52"/>
  <c r="V540" i="52"/>
  <c r="U540" i="52"/>
  <c r="T540" i="52"/>
  <c r="R540" i="52"/>
  <c r="Q540" i="52"/>
  <c r="P540" i="52"/>
  <c r="M540" i="52"/>
  <c r="W539" i="52"/>
  <c r="V539" i="52"/>
  <c r="U539" i="52"/>
  <c r="T539" i="52"/>
  <c r="R539" i="52"/>
  <c r="Q539" i="52"/>
  <c r="P539" i="52"/>
  <c r="M539" i="52"/>
  <c r="W538" i="52"/>
  <c r="V538" i="52"/>
  <c r="U538" i="52"/>
  <c r="T538" i="52"/>
  <c r="R538" i="52"/>
  <c r="Q538" i="52"/>
  <c r="P538" i="52"/>
  <c r="M538" i="52"/>
  <c r="W537" i="52"/>
  <c r="V537" i="52"/>
  <c r="U537" i="52"/>
  <c r="T537" i="52"/>
  <c r="P537" i="52"/>
  <c r="M537" i="52"/>
  <c r="F537" i="52"/>
  <c r="Q537" i="52" s="1"/>
  <c r="W536" i="52"/>
  <c r="V536" i="52"/>
  <c r="U536" i="52"/>
  <c r="T536" i="52"/>
  <c r="R536" i="52"/>
  <c r="Q536" i="52"/>
  <c r="P536" i="52"/>
  <c r="M536" i="52"/>
  <c r="W535" i="52"/>
  <c r="V535" i="52"/>
  <c r="U535" i="52"/>
  <c r="T535" i="52"/>
  <c r="P535" i="52"/>
  <c r="M535" i="52"/>
  <c r="F535" i="52"/>
  <c r="R535" i="52" s="1"/>
  <c r="W534" i="52"/>
  <c r="V534" i="52"/>
  <c r="U534" i="52"/>
  <c r="T534" i="52"/>
  <c r="R534" i="52"/>
  <c r="Q534" i="52"/>
  <c r="P534" i="52"/>
  <c r="M534" i="52"/>
  <c r="W533" i="52"/>
  <c r="V533" i="52"/>
  <c r="U533" i="52"/>
  <c r="T533" i="52"/>
  <c r="R533" i="52"/>
  <c r="Q533" i="52"/>
  <c r="P533" i="52"/>
  <c r="M533" i="52"/>
  <c r="W532" i="52"/>
  <c r="V532" i="52"/>
  <c r="U532" i="52"/>
  <c r="T532" i="52"/>
  <c r="P532" i="52"/>
  <c r="M532" i="52"/>
  <c r="Q532" i="52"/>
  <c r="W531" i="52"/>
  <c r="V531" i="52"/>
  <c r="U531" i="52"/>
  <c r="T531" i="52"/>
  <c r="R531" i="52"/>
  <c r="Q531" i="52"/>
  <c r="P531" i="52"/>
  <c r="W530" i="52"/>
  <c r="V530" i="52"/>
  <c r="U530" i="52"/>
  <c r="T530" i="52"/>
  <c r="R530" i="52"/>
  <c r="Q530" i="52"/>
  <c r="P530" i="52"/>
  <c r="W529" i="52"/>
  <c r="V529" i="52"/>
  <c r="U529" i="52"/>
  <c r="T529" i="52"/>
  <c r="P529" i="52"/>
  <c r="M529" i="52"/>
  <c r="F529" i="52"/>
  <c r="Q529" i="52" s="1"/>
  <c r="W528" i="52"/>
  <c r="V528" i="52"/>
  <c r="U528" i="52"/>
  <c r="T528" i="52"/>
  <c r="R528" i="52"/>
  <c r="Q528" i="52"/>
  <c r="P528" i="52"/>
  <c r="M528" i="52"/>
  <c r="W527" i="52"/>
  <c r="V527" i="52"/>
  <c r="U527" i="52"/>
  <c r="T527" i="52"/>
  <c r="P527" i="52"/>
  <c r="M527" i="52"/>
  <c r="Q527" i="52"/>
  <c r="W526" i="52"/>
  <c r="V526" i="52"/>
  <c r="U526" i="52"/>
  <c r="T526" i="52"/>
  <c r="P526" i="52"/>
  <c r="M526" i="52"/>
  <c r="F526" i="52"/>
  <c r="R526" i="52" s="1"/>
  <c r="W525" i="52"/>
  <c r="V525" i="52"/>
  <c r="U525" i="52"/>
  <c r="T525" i="52"/>
  <c r="R525" i="52"/>
  <c r="Q525" i="52"/>
  <c r="P525" i="52"/>
  <c r="M525" i="52"/>
  <c r="W524" i="52"/>
  <c r="V524" i="52"/>
  <c r="U524" i="52"/>
  <c r="T524" i="52"/>
  <c r="R524" i="52"/>
  <c r="Q524" i="52"/>
  <c r="P524" i="52"/>
  <c r="M524" i="52"/>
  <c r="W523" i="52"/>
  <c r="V523" i="52"/>
  <c r="U523" i="52"/>
  <c r="T523" i="52"/>
  <c r="R523" i="52"/>
  <c r="Q523" i="52"/>
  <c r="P523" i="52"/>
  <c r="M523" i="52"/>
  <c r="W522" i="52"/>
  <c r="V522" i="52"/>
  <c r="U522" i="52"/>
  <c r="T522" i="52"/>
  <c r="R522" i="52"/>
  <c r="Q522" i="52"/>
  <c r="P522" i="52"/>
  <c r="W521" i="52"/>
  <c r="V521" i="52"/>
  <c r="U521" i="52"/>
  <c r="T521" i="52"/>
  <c r="R521" i="52"/>
  <c r="Q521" i="52"/>
  <c r="P521" i="52"/>
  <c r="M521" i="52"/>
  <c r="W520" i="52"/>
  <c r="V520" i="52"/>
  <c r="U520" i="52"/>
  <c r="T520" i="52"/>
  <c r="R520" i="52"/>
  <c r="Q520" i="52"/>
  <c r="P520" i="52"/>
  <c r="M520" i="52"/>
  <c r="W519" i="52"/>
  <c r="V519" i="52"/>
  <c r="U519" i="52"/>
  <c r="T519" i="52"/>
  <c r="R519" i="52"/>
  <c r="Q519" i="52"/>
  <c r="P519" i="52"/>
  <c r="M519" i="52"/>
  <c r="W518" i="52"/>
  <c r="V518" i="52"/>
  <c r="U518" i="52"/>
  <c r="T518" i="52"/>
  <c r="R518" i="52"/>
  <c r="Q518" i="52"/>
  <c r="P518" i="52"/>
  <c r="M518" i="52"/>
  <c r="W517" i="52"/>
  <c r="V517" i="52"/>
  <c r="U517" i="52"/>
  <c r="T517" i="52"/>
  <c r="P517" i="52"/>
  <c r="M517" i="52"/>
  <c r="R517" i="52"/>
  <c r="W516" i="52"/>
  <c r="V516" i="52"/>
  <c r="U516" i="52"/>
  <c r="T516" i="52"/>
  <c r="R516" i="52"/>
  <c r="Q516" i="52"/>
  <c r="P516" i="52"/>
  <c r="M516" i="52"/>
  <c r="W515" i="52"/>
  <c r="V515" i="52"/>
  <c r="U515" i="52"/>
  <c r="T515" i="52"/>
  <c r="R515" i="52"/>
  <c r="Q515" i="52"/>
  <c r="P515" i="52"/>
  <c r="M515" i="52"/>
  <c r="W514" i="52"/>
  <c r="V514" i="52"/>
  <c r="U514" i="52"/>
  <c r="T514" i="52"/>
  <c r="R514" i="52"/>
  <c r="Q514" i="52"/>
  <c r="P514" i="52"/>
  <c r="M514" i="52"/>
  <c r="W513" i="52"/>
  <c r="V513" i="52"/>
  <c r="U513" i="52"/>
  <c r="T513" i="52"/>
  <c r="P513" i="52"/>
  <c r="M513" i="52"/>
  <c r="F513" i="52"/>
  <c r="Q513" i="52" s="1"/>
  <c r="W512" i="52"/>
  <c r="V512" i="52"/>
  <c r="U512" i="52"/>
  <c r="T512" i="52"/>
  <c r="R512" i="52"/>
  <c r="Q512" i="52"/>
  <c r="P512" i="52"/>
  <c r="M512" i="52"/>
  <c r="W511" i="52"/>
  <c r="V511" i="52"/>
  <c r="U511" i="52"/>
  <c r="W510" i="52"/>
  <c r="V510" i="52"/>
  <c r="U510" i="52"/>
  <c r="V509" i="52"/>
  <c r="U509" i="52"/>
  <c r="W508" i="52"/>
  <c r="V508" i="52"/>
  <c r="U508" i="52"/>
  <c r="W507" i="52"/>
  <c r="V507" i="52"/>
  <c r="U507" i="52"/>
  <c r="V506" i="52"/>
  <c r="U506" i="52"/>
  <c r="W505" i="52"/>
  <c r="V505" i="52"/>
  <c r="U505" i="52"/>
  <c r="W504" i="52"/>
  <c r="V504" i="52"/>
  <c r="U504" i="52"/>
  <c r="W503" i="52"/>
  <c r="V503" i="52"/>
  <c r="U503" i="52"/>
  <c r="W502" i="52"/>
  <c r="V502" i="52"/>
  <c r="U502" i="52"/>
  <c r="W501" i="52"/>
  <c r="V501" i="52"/>
  <c r="U501" i="52"/>
  <c r="W500" i="52"/>
  <c r="V500" i="52"/>
  <c r="U500" i="52"/>
  <c r="W499" i="52"/>
  <c r="V499" i="52"/>
  <c r="U499" i="52"/>
  <c r="W498" i="52"/>
  <c r="V498" i="52"/>
  <c r="U498" i="52"/>
  <c r="W497" i="52"/>
  <c r="V497" i="52"/>
  <c r="U497" i="52"/>
  <c r="W496" i="52"/>
  <c r="V496" i="52"/>
  <c r="U496" i="52"/>
  <c r="W495" i="52"/>
  <c r="V495" i="52"/>
  <c r="U495" i="52"/>
  <c r="W494" i="52"/>
  <c r="V494" i="52"/>
  <c r="U494" i="52"/>
  <c r="W493" i="52"/>
  <c r="V493" i="52"/>
  <c r="U493" i="52"/>
  <c r="W492" i="52"/>
  <c r="V492" i="52"/>
  <c r="U492" i="52"/>
  <c r="W491" i="52"/>
  <c r="V491" i="52"/>
  <c r="U491" i="52"/>
  <c r="W490" i="52"/>
  <c r="V490" i="52"/>
  <c r="U490" i="52"/>
  <c r="W489" i="52"/>
  <c r="V489" i="52"/>
  <c r="U489" i="52"/>
  <c r="W488" i="52"/>
  <c r="V488" i="52"/>
  <c r="U488" i="52"/>
  <c r="W487" i="52"/>
  <c r="V487" i="52"/>
  <c r="U487" i="52"/>
  <c r="W486" i="52"/>
  <c r="V486" i="52"/>
  <c r="U486" i="52"/>
  <c r="W485" i="52"/>
  <c r="V485" i="52"/>
  <c r="U485" i="52"/>
  <c r="F485" i="52"/>
  <c r="R485" i="52" s="1"/>
  <c r="W484" i="52"/>
  <c r="V484" i="52"/>
  <c r="U484" i="52"/>
  <c r="F484" i="52"/>
  <c r="R484" i="52" s="1"/>
  <c r="W483" i="52"/>
  <c r="V483" i="52"/>
  <c r="U483" i="52"/>
  <c r="F483" i="52"/>
  <c r="R483" i="52" s="1"/>
  <c r="W482" i="52"/>
  <c r="V482" i="52"/>
  <c r="U482" i="52"/>
  <c r="R482" i="52"/>
  <c r="W481" i="52"/>
  <c r="V481" i="52"/>
  <c r="U481" i="52"/>
  <c r="R481" i="52"/>
  <c r="W480" i="52"/>
  <c r="V480" i="52"/>
  <c r="U480" i="52"/>
  <c r="R480" i="52"/>
  <c r="W479" i="52"/>
  <c r="V479" i="52"/>
  <c r="U479" i="52"/>
  <c r="R479" i="52"/>
  <c r="W478" i="52"/>
  <c r="V478" i="52"/>
  <c r="U478" i="52"/>
  <c r="F478" i="52"/>
  <c r="R478" i="52" s="1"/>
  <c r="W477" i="52"/>
  <c r="V477" i="52"/>
  <c r="U477" i="52"/>
  <c r="F477" i="52"/>
  <c r="R477" i="52" s="1"/>
  <c r="W476" i="52"/>
  <c r="V476" i="52"/>
  <c r="U476" i="52"/>
  <c r="F476" i="52"/>
  <c r="R476" i="52" s="1"/>
  <c r="W475" i="52"/>
  <c r="V475" i="52"/>
  <c r="U475" i="52"/>
  <c r="F475" i="52"/>
  <c r="R475" i="52" s="1"/>
  <c r="W474" i="52"/>
  <c r="V474" i="52"/>
  <c r="U474" i="52"/>
  <c r="F474" i="52"/>
  <c r="R474" i="52" s="1"/>
  <c r="W473" i="52"/>
  <c r="V473" i="52"/>
  <c r="U473" i="52"/>
  <c r="F473" i="52"/>
  <c r="R473" i="52" s="1"/>
  <c r="W472" i="52"/>
  <c r="V472" i="52"/>
  <c r="U472" i="52"/>
  <c r="R472" i="52"/>
  <c r="W471" i="52"/>
  <c r="V471" i="52"/>
  <c r="U471" i="52"/>
  <c r="R471" i="52"/>
  <c r="W470" i="52"/>
  <c r="V470" i="52"/>
  <c r="U470" i="52"/>
  <c r="R470" i="52"/>
  <c r="W469" i="52"/>
  <c r="V469" i="52"/>
  <c r="U469" i="52"/>
  <c r="F469" i="52"/>
  <c r="R469" i="52" s="1"/>
  <c r="W468" i="52"/>
  <c r="V468" i="52"/>
  <c r="U468" i="52"/>
  <c r="R468" i="52"/>
  <c r="Q468" i="52"/>
  <c r="W467" i="52"/>
  <c r="V467" i="52"/>
  <c r="U467" i="52"/>
  <c r="R467" i="52"/>
  <c r="Q467" i="52"/>
  <c r="W466" i="52"/>
  <c r="V466" i="52"/>
  <c r="U466" i="52"/>
  <c r="R466" i="52"/>
  <c r="Q466" i="52"/>
  <c r="W465" i="52"/>
  <c r="V465" i="52"/>
  <c r="U465" i="52"/>
  <c r="R465" i="52"/>
  <c r="Q465" i="52"/>
  <c r="W464" i="52"/>
  <c r="V464" i="52"/>
  <c r="U464" i="52"/>
  <c r="R464" i="52"/>
  <c r="Q464" i="52"/>
  <c r="W463" i="52"/>
  <c r="V463" i="52"/>
  <c r="U463" i="52"/>
  <c r="F463" i="52"/>
  <c r="R463" i="52" s="1"/>
  <c r="W462" i="52"/>
  <c r="V462" i="52"/>
  <c r="U462" i="52"/>
  <c r="R462" i="52"/>
  <c r="Q462" i="52"/>
  <c r="W461" i="52"/>
  <c r="V461" i="52"/>
  <c r="U461" i="52"/>
  <c r="F461" i="52"/>
  <c r="R461" i="52" s="1"/>
  <c r="W460" i="52"/>
  <c r="V460" i="52"/>
  <c r="U460" i="52"/>
  <c r="F460" i="52"/>
  <c r="R460" i="52" s="1"/>
  <c r="W459" i="52"/>
  <c r="V459" i="52"/>
  <c r="U459" i="52"/>
  <c r="F459" i="52"/>
  <c r="R459" i="52" s="1"/>
  <c r="W458" i="52"/>
  <c r="V458" i="52"/>
  <c r="U458" i="52"/>
  <c r="R458" i="52"/>
  <c r="W457" i="52"/>
  <c r="V457" i="52"/>
  <c r="U457" i="52"/>
  <c r="R457" i="52"/>
  <c r="W456" i="52"/>
  <c r="V456" i="52"/>
  <c r="U456" i="52"/>
  <c r="F456" i="52"/>
  <c r="R456" i="52" s="1"/>
  <c r="W455" i="52"/>
  <c r="V455" i="52"/>
  <c r="U455" i="52"/>
  <c r="R455" i="52"/>
  <c r="W454" i="52"/>
  <c r="V454" i="52"/>
  <c r="U454" i="52"/>
  <c r="R454" i="52"/>
  <c r="W453" i="52"/>
  <c r="V453" i="52"/>
  <c r="U453" i="52"/>
  <c r="R453" i="52"/>
  <c r="Q453" i="52"/>
  <c r="W452" i="52"/>
  <c r="V452" i="52"/>
  <c r="U452" i="52"/>
  <c r="R452" i="52"/>
  <c r="Q452" i="52"/>
  <c r="W451" i="52"/>
  <c r="V451" i="52"/>
  <c r="U451" i="52"/>
  <c r="R451" i="52"/>
  <c r="Q451" i="52"/>
  <c r="W450" i="52"/>
  <c r="V450" i="52"/>
  <c r="U450" i="52"/>
  <c r="R450" i="52"/>
  <c r="W449" i="52"/>
  <c r="V449" i="52"/>
  <c r="U449" i="52"/>
  <c r="R449" i="52"/>
  <c r="Q449" i="52"/>
  <c r="W448" i="52"/>
  <c r="V448" i="52"/>
  <c r="U448" i="52"/>
  <c r="R448" i="52"/>
  <c r="Q448" i="52"/>
  <c r="W447" i="52"/>
  <c r="V447" i="52"/>
  <c r="U447" i="52"/>
  <c r="R447" i="52"/>
  <c r="Q447" i="52"/>
  <c r="W446" i="52"/>
  <c r="V446" i="52"/>
  <c r="U446" i="52"/>
  <c r="R446" i="52"/>
  <c r="Q446" i="52"/>
  <c r="W445" i="52"/>
  <c r="V445" i="52"/>
  <c r="U445" i="52"/>
  <c r="R445" i="52"/>
  <c r="Q445" i="52"/>
  <c r="W444" i="52"/>
  <c r="V444" i="52"/>
  <c r="U444" i="52"/>
  <c r="R444" i="52"/>
  <c r="Q444" i="52"/>
  <c r="W443" i="52"/>
  <c r="V443" i="52"/>
  <c r="U443" i="52"/>
  <c r="R443" i="52"/>
  <c r="Q443" i="52"/>
  <c r="W442" i="52"/>
  <c r="V442" i="52"/>
  <c r="U442" i="52"/>
  <c r="R442" i="52"/>
  <c r="Q442" i="52"/>
  <c r="W441" i="52"/>
  <c r="V441" i="52"/>
  <c r="U441" i="52"/>
  <c r="R441" i="52"/>
  <c r="Q441" i="52"/>
  <c r="W440" i="52"/>
  <c r="V440" i="52"/>
  <c r="U440" i="52"/>
  <c r="R440" i="52"/>
  <c r="W439" i="52"/>
  <c r="V439" i="52"/>
  <c r="U439" i="52"/>
  <c r="R439" i="52"/>
  <c r="W438" i="52"/>
  <c r="V438" i="52"/>
  <c r="U438" i="52"/>
  <c r="R438" i="52"/>
  <c r="W437" i="52"/>
  <c r="V437" i="52"/>
  <c r="U437" i="52"/>
  <c r="R437" i="52"/>
  <c r="Q437" i="52"/>
  <c r="W436" i="52"/>
  <c r="V436" i="52"/>
  <c r="U436" i="52"/>
  <c r="R436" i="52"/>
  <c r="Q436" i="52"/>
  <c r="W435" i="52"/>
  <c r="V435" i="52"/>
  <c r="U435" i="52"/>
  <c r="R435" i="52"/>
  <c r="Q435" i="52"/>
  <c r="W434" i="52"/>
  <c r="V434" i="52"/>
  <c r="U434" i="52"/>
  <c r="R434" i="52"/>
  <c r="Q434" i="52"/>
  <c r="W433" i="52"/>
  <c r="V433" i="52"/>
  <c r="U433" i="52"/>
  <c r="R433" i="52"/>
  <c r="Q433" i="52"/>
  <c r="W432" i="52"/>
  <c r="V432" i="52"/>
  <c r="U432" i="52"/>
  <c r="R432" i="52"/>
  <c r="Q432" i="52"/>
  <c r="W431" i="52"/>
  <c r="V431" i="52"/>
  <c r="U431" i="52"/>
  <c r="R431" i="52"/>
  <c r="Q431" i="52"/>
  <c r="W430" i="52"/>
  <c r="V430" i="52"/>
  <c r="U430" i="52"/>
  <c r="R430" i="52"/>
  <c r="W429" i="52"/>
  <c r="V429" i="52"/>
  <c r="U429" i="52"/>
  <c r="R429" i="52"/>
  <c r="Q429" i="52"/>
  <c r="W428" i="52"/>
  <c r="V428" i="52"/>
  <c r="U428" i="52"/>
  <c r="R428" i="52"/>
  <c r="Q428" i="52"/>
  <c r="W427" i="52"/>
  <c r="V427" i="52"/>
  <c r="U427" i="52"/>
  <c r="R427" i="52"/>
  <c r="W426" i="52"/>
  <c r="V426" i="52"/>
  <c r="U426" i="52"/>
  <c r="R426" i="52"/>
  <c r="W424" i="52"/>
  <c r="V424" i="52"/>
  <c r="U424" i="52"/>
  <c r="T424" i="52"/>
  <c r="R424" i="52"/>
  <c r="Q424" i="52"/>
  <c r="P424" i="52"/>
  <c r="M424" i="52"/>
  <c r="W423" i="52"/>
  <c r="V423" i="52"/>
  <c r="U423" i="52"/>
  <c r="T423" i="52"/>
  <c r="R423" i="52"/>
  <c r="Q423" i="52"/>
  <c r="P423" i="52"/>
  <c r="M423" i="52"/>
  <c r="W422" i="52"/>
  <c r="V422" i="52"/>
  <c r="U422" i="52"/>
  <c r="T422" i="52"/>
  <c r="R422" i="52"/>
  <c r="Q422" i="52"/>
  <c r="P422" i="52"/>
  <c r="M422" i="52"/>
  <c r="W421" i="52"/>
  <c r="V421" i="52"/>
  <c r="U421" i="52"/>
  <c r="T421" i="52"/>
  <c r="R421" i="52"/>
  <c r="Q421" i="52"/>
  <c r="P421" i="52"/>
  <c r="M421" i="52"/>
  <c r="W420" i="52"/>
  <c r="V420" i="52"/>
  <c r="U420" i="52"/>
  <c r="T420" i="52"/>
  <c r="R420" i="52"/>
  <c r="Q420" i="52"/>
  <c r="P420" i="52"/>
  <c r="M420" i="52"/>
  <c r="W419" i="52"/>
  <c r="V419" i="52"/>
  <c r="U419" i="52"/>
  <c r="T419" i="52"/>
  <c r="R419" i="52"/>
  <c r="Q419" i="52"/>
  <c r="P419" i="52"/>
  <c r="M419" i="52"/>
  <c r="W418" i="52"/>
  <c r="V418" i="52"/>
  <c r="U418" i="52"/>
  <c r="T418" i="52"/>
  <c r="R418" i="52"/>
  <c r="Q418" i="52"/>
  <c r="P418" i="52"/>
  <c r="M418" i="52"/>
  <c r="W417" i="52"/>
  <c r="V417" i="52"/>
  <c r="U417" i="52"/>
  <c r="T417" i="52"/>
  <c r="R417" i="52"/>
  <c r="Q417" i="52"/>
  <c r="P417" i="52"/>
  <c r="M417" i="52"/>
  <c r="W416" i="52"/>
  <c r="V416" i="52"/>
  <c r="U416" i="52"/>
  <c r="T416" i="52"/>
  <c r="R416" i="52"/>
  <c r="Q416" i="52"/>
  <c r="P416" i="52"/>
  <c r="M416" i="52"/>
  <c r="W415" i="52"/>
  <c r="V415" i="52"/>
  <c r="U415" i="52"/>
  <c r="T415" i="52"/>
  <c r="R415" i="52"/>
  <c r="Q415" i="52"/>
  <c r="P415" i="52"/>
  <c r="M415" i="52"/>
  <c r="W414" i="52"/>
  <c r="V414" i="52"/>
  <c r="U414" i="52"/>
  <c r="T414" i="52"/>
  <c r="R414" i="52"/>
  <c r="Q414" i="52"/>
  <c r="P414" i="52"/>
  <c r="M414" i="52"/>
  <c r="W413" i="52"/>
  <c r="V413" i="52"/>
  <c r="U413" i="52"/>
  <c r="T413" i="52"/>
  <c r="R413" i="52"/>
  <c r="Q413" i="52"/>
  <c r="P413" i="52"/>
  <c r="M413" i="52"/>
  <c r="W412" i="52"/>
  <c r="V412" i="52"/>
  <c r="U412" i="52"/>
  <c r="T412" i="52"/>
  <c r="R412" i="52"/>
  <c r="Q412" i="52"/>
  <c r="P412" i="52"/>
  <c r="M412" i="52"/>
  <c r="W411" i="52"/>
  <c r="V411" i="52"/>
  <c r="U411" i="52"/>
  <c r="T411" i="52"/>
  <c r="R411" i="52"/>
  <c r="Q411" i="52"/>
  <c r="P411" i="52"/>
  <c r="M411" i="52"/>
  <c r="W410" i="52"/>
  <c r="V410" i="52"/>
  <c r="U410" i="52"/>
  <c r="T410" i="52"/>
  <c r="R410" i="52"/>
  <c r="Q410" i="52"/>
  <c r="P410" i="52"/>
  <c r="M410" i="52"/>
  <c r="W409" i="52"/>
  <c r="V409" i="52"/>
  <c r="U409" i="52"/>
  <c r="T409" i="52"/>
  <c r="P409" i="52"/>
  <c r="M409" i="52"/>
  <c r="R409" i="52"/>
  <c r="W408" i="52"/>
  <c r="V408" i="52"/>
  <c r="U408" i="52"/>
  <c r="T408" i="52"/>
  <c r="P408" i="52"/>
  <c r="M408" i="52"/>
  <c r="F408" i="52"/>
  <c r="R408" i="52" s="1"/>
  <c r="W407" i="52"/>
  <c r="V407" i="52"/>
  <c r="U407" i="52"/>
  <c r="T407" i="52"/>
  <c r="R407" i="52"/>
  <c r="Q407" i="52"/>
  <c r="P407" i="52"/>
  <c r="M407" i="52"/>
  <c r="W406" i="52"/>
  <c r="V406" i="52"/>
  <c r="U406" i="52"/>
  <c r="T406" i="52"/>
  <c r="R406" i="52"/>
  <c r="Q406" i="52"/>
  <c r="P406" i="52"/>
  <c r="W405" i="52"/>
  <c r="V405" i="52"/>
  <c r="U405" i="52"/>
  <c r="T405" i="52"/>
  <c r="R405" i="52"/>
  <c r="Q405" i="52"/>
  <c r="P405" i="52"/>
  <c r="M405" i="52"/>
  <c r="W404" i="52"/>
  <c r="V404" i="52"/>
  <c r="U404" i="52"/>
  <c r="T404" i="52"/>
  <c r="R404" i="52"/>
  <c r="Q404" i="52"/>
  <c r="P404" i="52"/>
  <c r="M404" i="52"/>
  <c r="W403" i="52"/>
  <c r="V403" i="52"/>
  <c r="U403" i="52"/>
  <c r="T403" i="52"/>
  <c r="R403" i="52"/>
  <c r="Q403" i="52"/>
  <c r="P403" i="52"/>
  <c r="M403" i="52"/>
  <c r="W402" i="52"/>
  <c r="V402" i="52"/>
  <c r="U402" i="52"/>
  <c r="T402" i="52"/>
  <c r="R402" i="52"/>
  <c r="Q402" i="52"/>
  <c r="P402" i="52"/>
  <c r="M402" i="52"/>
  <c r="W401" i="52"/>
  <c r="V401" i="52"/>
  <c r="U401" i="52"/>
  <c r="T401" i="52"/>
  <c r="R401" i="52"/>
  <c r="Q401" i="52"/>
  <c r="P401" i="52"/>
  <c r="M401" i="52"/>
  <c r="W400" i="52"/>
  <c r="V400" i="52"/>
  <c r="U400" i="52"/>
  <c r="T400" i="52"/>
  <c r="R400" i="52"/>
  <c r="Q400" i="52"/>
  <c r="P400" i="52"/>
  <c r="W399" i="52"/>
  <c r="V399" i="52"/>
  <c r="U399" i="52"/>
  <c r="T399" i="52"/>
  <c r="R399" i="52"/>
  <c r="Q399" i="52"/>
  <c r="P399" i="52"/>
  <c r="M399" i="52"/>
  <c r="W398" i="52"/>
  <c r="V398" i="52"/>
  <c r="U398" i="52"/>
  <c r="T398" i="52"/>
  <c r="R398" i="52"/>
  <c r="Q398" i="52"/>
  <c r="P398" i="52"/>
  <c r="M398" i="52"/>
  <c r="W397" i="52"/>
  <c r="V397" i="52"/>
  <c r="U397" i="52"/>
  <c r="T397" i="52"/>
  <c r="P397" i="52"/>
  <c r="M397" i="52"/>
  <c r="F397" i="52"/>
  <c r="R397" i="52" s="1"/>
  <c r="W396" i="52"/>
  <c r="V396" i="52"/>
  <c r="U396" i="52"/>
  <c r="T396" i="52"/>
  <c r="P396" i="52"/>
  <c r="M396" i="52"/>
  <c r="F396" i="52"/>
  <c r="R396" i="52" s="1"/>
  <c r="W395" i="52"/>
  <c r="V395" i="52"/>
  <c r="U395" i="52"/>
  <c r="T395" i="52"/>
  <c r="P395" i="52"/>
  <c r="M395" i="52"/>
  <c r="F395" i="52"/>
  <c r="R395" i="52" s="1"/>
  <c r="W394" i="52"/>
  <c r="V394" i="52"/>
  <c r="U394" i="52"/>
  <c r="T394" i="52"/>
  <c r="P394" i="52"/>
  <c r="M394" i="52"/>
  <c r="F394" i="52"/>
  <c r="R394" i="52" s="1"/>
  <c r="W393" i="52"/>
  <c r="V393" i="52"/>
  <c r="U393" i="52"/>
  <c r="T393" i="52"/>
  <c r="P393" i="52"/>
  <c r="M393" i="52"/>
  <c r="F393" i="52"/>
  <c r="R393" i="52" s="1"/>
  <c r="W392" i="52"/>
  <c r="V392" i="52"/>
  <c r="U392" i="52"/>
  <c r="T392" i="52"/>
  <c r="P392" i="52"/>
  <c r="M392" i="52"/>
  <c r="F392" i="52"/>
  <c r="R392" i="52" s="1"/>
  <c r="W391" i="52"/>
  <c r="V391" i="52"/>
  <c r="U391" i="52"/>
  <c r="T391" i="52"/>
  <c r="R391" i="52"/>
  <c r="Q391" i="52"/>
  <c r="P391" i="52"/>
  <c r="M391" i="52"/>
  <c r="W390" i="52"/>
  <c r="V390" i="52"/>
  <c r="U390" i="52"/>
  <c r="T390" i="52"/>
  <c r="R390" i="52"/>
  <c r="Q390" i="52"/>
  <c r="P390" i="52"/>
  <c r="M390" i="52"/>
  <c r="W389" i="52"/>
  <c r="V389" i="52"/>
  <c r="U389" i="52"/>
  <c r="T389" i="52"/>
  <c r="P389" i="52"/>
  <c r="M389" i="52"/>
  <c r="Q389" i="52"/>
  <c r="W388" i="52"/>
  <c r="V388" i="52"/>
  <c r="U388" i="52"/>
  <c r="T388" i="52"/>
  <c r="R388" i="52"/>
  <c r="Q388" i="52"/>
  <c r="P388" i="52"/>
  <c r="M388" i="52"/>
  <c r="W387" i="52"/>
  <c r="V387" i="52"/>
  <c r="U387" i="52"/>
  <c r="T387" i="52"/>
  <c r="R387" i="52"/>
  <c r="Q387" i="52"/>
  <c r="P387" i="52"/>
  <c r="M387" i="52"/>
  <c r="W386" i="52"/>
  <c r="V386" i="52"/>
  <c r="U386" i="52"/>
  <c r="T386" i="52"/>
  <c r="R386" i="52"/>
  <c r="Q386" i="52"/>
  <c r="P386" i="52"/>
  <c r="M386" i="52"/>
  <c r="W385" i="52"/>
  <c r="V385" i="52"/>
  <c r="U385" i="52"/>
  <c r="T385" i="52"/>
  <c r="R385" i="52"/>
  <c r="Q385" i="52"/>
  <c r="P385" i="52"/>
  <c r="M385" i="52"/>
  <c r="W384" i="52"/>
  <c r="V384" i="52"/>
  <c r="U384" i="52"/>
  <c r="T384" i="52"/>
  <c r="R384" i="52"/>
  <c r="Q384" i="52"/>
  <c r="P384" i="52"/>
  <c r="M384" i="52"/>
  <c r="W383" i="52"/>
  <c r="V383" i="52"/>
  <c r="U383" i="52"/>
  <c r="T383" i="52"/>
  <c r="P383" i="52"/>
  <c r="M383" i="52"/>
  <c r="R383" i="52"/>
  <c r="W382" i="52"/>
  <c r="V382" i="52"/>
  <c r="U382" i="52"/>
  <c r="T382" i="52"/>
  <c r="R382" i="52"/>
  <c r="Q382" i="52"/>
  <c r="P382" i="52"/>
  <c r="W381" i="52"/>
  <c r="V381" i="52"/>
  <c r="U381" i="52"/>
  <c r="T381" i="52"/>
  <c r="P381" i="52"/>
  <c r="M381" i="52"/>
  <c r="F381" i="52"/>
  <c r="R381" i="52" s="1"/>
  <c r="W380" i="52"/>
  <c r="V380" i="52"/>
  <c r="U380" i="52"/>
  <c r="T380" i="52"/>
  <c r="R380" i="52"/>
  <c r="Q380" i="52"/>
  <c r="P380" i="52"/>
  <c r="M380" i="52"/>
  <c r="W379" i="52"/>
  <c r="V379" i="52"/>
  <c r="U379" i="52"/>
  <c r="T379" i="52"/>
  <c r="P379" i="52"/>
  <c r="M379" i="52"/>
  <c r="Q379" i="52"/>
  <c r="W378" i="52"/>
  <c r="V378" i="52"/>
  <c r="U378" i="52"/>
  <c r="R378" i="52"/>
  <c r="Q378" i="52"/>
  <c r="W377" i="52"/>
  <c r="V377" i="52"/>
  <c r="U377" i="52"/>
  <c r="F377" i="52"/>
  <c r="W376" i="52"/>
  <c r="V376" i="52"/>
  <c r="U376" i="52"/>
  <c r="W375" i="52"/>
  <c r="V375" i="52"/>
  <c r="U375" i="52"/>
  <c r="R375" i="52"/>
  <c r="Q375" i="52"/>
  <c r="W374" i="52"/>
  <c r="V374" i="52"/>
  <c r="U374" i="52"/>
  <c r="R374" i="52"/>
  <c r="Q374" i="52"/>
  <c r="M374" i="52"/>
  <c r="W373" i="52"/>
  <c r="V373" i="52"/>
  <c r="U373" i="52"/>
  <c r="R373" i="52"/>
  <c r="Q373" i="52"/>
  <c r="M373" i="52"/>
  <c r="W372" i="52"/>
  <c r="V372" i="52"/>
  <c r="U372" i="52"/>
  <c r="R372" i="52"/>
  <c r="Q372" i="52"/>
  <c r="W371" i="52"/>
  <c r="V371" i="52"/>
  <c r="U371" i="52"/>
  <c r="M371" i="52"/>
  <c r="F371" i="52"/>
  <c r="R371" i="52" s="1"/>
  <c r="W370" i="52"/>
  <c r="V370" i="52"/>
  <c r="U370" i="52"/>
  <c r="M370" i="52"/>
  <c r="F370" i="52"/>
  <c r="R370" i="52" s="1"/>
  <c r="W369" i="52"/>
  <c r="V369" i="52"/>
  <c r="U369" i="52"/>
  <c r="R369" i="52"/>
  <c r="Q369" i="52"/>
  <c r="W368" i="52"/>
  <c r="V368" i="52"/>
  <c r="U368" i="52"/>
  <c r="M368" i="52"/>
  <c r="F368" i="52"/>
  <c r="Q368" i="52" s="1"/>
  <c r="W367" i="52"/>
  <c r="V367" i="52"/>
  <c r="U367" i="52"/>
  <c r="R367" i="52"/>
  <c r="Q367" i="52"/>
  <c r="M367" i="52"/>
  <c r="W366" i="52"/>
  <c r="V366" i="52"/>
  <c r="U366" i="52"/>
  <c r="R366" i="52"/>
  <c r="Q366" i="52"/>
  <c r="M366" i="52"/>
  <c r="W365" i="52"/>
  <c r="V365" i="52"/>
  <c r="U365" i="52"/>
  <c r="M365" i="52"/>
  <c r="R365" i="52"/>
  <c r="W364" i="52"/>
  <c r="V364" i="52"/>
  <c r="U364" i="52"/>
  <c r="M364" i="52"/>
  <c r="R364" i="52"/>
  <c r="W363" i="52"/>
  <c r="V363" i="52"/>
  <c r="U363" i="52"/>
  <c r="R363" i="52"/>
  <c r="Q363" i="52"/>
  <c r="W362" i="52"/>
  <c r="V362" i="52"/>
  <c r="U362" i="52"/>
  <c r="R362" i="52"/>
  <c r="Q362" i="52"/>
  <c r="M362" i="52"/>
  <c r="W361" i="52"/>
  <c r="V361" i="52"/>
  <c r="U361" i="52"/>
  <c r="R361" i="52"/>
  <c r="Q361" i="52"/>
  <c r="W360" i="52"/>
  <c r="V360" i="52"/>
  <c r="U360" i="52"/>
  <c r="M360" i="52"/>
  <c r="F360" i="52"/>
  <c r="R360" i="52" s="1"/>
  <c r="W359" i="52"/>
  <c r="V359" i="52"/>
  <c r="U359" i="52"/>
  <c r="M359" i="52"/>
  <c r="F359" i="52"/>
  <c r="R359" i="52" s="1"/>
  <c r="W358" i="52"/>
  <c r="V358" i="52"/>
  <c r="U358" i="52"/>
  <c r="M358" i="52"/>
  <c r="F358" i="52"/>
  <c r="R358" i="52" s="1"/>
  <c r="W357" i="52"/>
  <c r="V357" i="52"/>
  <c r="U357" i="52"/>
  <c r="M357" i="52"/>
  <c r="F357" i="52"/>
  <c r="Q357" i="52" s="1"/>
  <c r="W356" i="52"/>
  <c r="V356" i="52"/>
  <c r="U356" i="52"/>
  <c r="R356" i="52"/>
  <c r="Q356" i="52"/>
  <c r="M356" i="52"/>
  <c r="W355" i="52"/>
  <c r="V355" i="52"/>
  <c r="U355" i="52"/>
  <c r="M355" i="52"/>
  <c r="F355" i="52"/>
  <c r="R355" i="52" s="1"/>
  <c r="W354" i="52"/>
  <c r="V354" i="52"/>
  <c r="U354" i="52"/>
  <c r="M354" i="52"/>
  <c r="F354" i="52"/>
  <c r="Q354" i="52" s="1"/>
  <c r="W353" i="52"/>
  <c r="V353" i="52"/>
  <c r="U353" i="52"/>
  <c r="M353" i="52"/>
  <c r="F353" i="52"/>
  <c r="R353" i="52" s="1"/>
  <c r="W352" i="52"/>
  <c r="V352" i="52"/>
  <c r="U352" i="52"/>
  <c r="T352" i="52"/>
  <c r="R352" i="52"/>
  <c r="Q352" i="52"/>
  <c r="P352" i="52"/>
  <c r="M352" i="52"/>
  <c r="W351" i="52"/>
  <c r="V351" i="52"/>
  <c r="U351" i="52"/>
  <c r="R351" i="52"/>
  <c r="Q351" i="52"/>
  <c r="W350" i="52"/>
  <c r="V350" i="52"/>
  <c r="U350" i="52"/>
  <c r="R350" i="52"/>
  <c r="Q350" i="52"/>
  <c r="M350" i="52"/>
  <c r="W349" i="52"/>
  <c r="V349" i="52"/>
  <c r="U349" i="52"/>
  <c r="R349" i="52"/>
  <c r="Q349" i="52"/>
  <c r="M349" i="52"/>
  <c r="W348" i="52"/>
  <c r="V348" i="52"/>
  <c r="U348" i="52"/>
  <c r="M348" i="52"/>
  <c r="F348" i="52"/>
  <c r="R348" i="52" s="1"/>
  <c r="W347" i="52"/>
  <c r="V347" i="52"/>
  <c r="U347" i="52"/>
  <c r="R347" i="52"/>
  <c r="Q347" i="52"/>
  <c r="M347" i="52"/>
  <c r="W346" i="52"/>
  <c r="V346" i="52"/>
  <c r="U346" i="52"/>
  <c r="R346" i="52"/>
  <c r="Q346" i="52"/>
  <c r="W345" i="52"/>
  <c r="V345" i="52"/>
  <c r="U345" i="52"/>
  <c r="M345" i="52"/>
  <c r="F345" i="52"/>
  <c r="R345" i="52" s="1"/>
  <c r="W344" i="52"/>
  <c r="V344" i="52"/>
  <c r="U344" i="52"/>
  <c r="R344" i="52"/>
  <c r="Q344" i="52"/>
  <c r="M344" i="52"/>
  <c r="W343" i="52"/>
  <c r="V343" i="52"/>
  <c r="U343" i="52"/>
  <c r="M343" i="52"/>
  <c r="F343" i="52"/>
  <c r="R343" i="52" s="1"/>
  <c r="W342" i="52"/>
  <c r="V342" i="52"/>
  <c r="U342" i="52"/>
  <c r="T342" i="52"/>
  <c r="P342" i="52"/>
  <c r="M342" i="52"/>
  <c r="F342" i="52"/>
  <c r="Q342" i="52" s="1"/>
  <c r="W341" i="52"/>
  <c r="V341" i="52"/>
  <c r="U341" i="52"/>
  <c r="R341" i="52"/>
  <c r="Q341" i="52"/>
  <c r="M341" i="52"/>
  <c r="W340" i="52"/>
  <c r="V340" i="52"/>
  <c r="U340" i="52"/>
  <c r="R340" i="52"/>
  <c r="Q340" i="52"/>
  <c r="W339" i="52"/>
  <c r="V339" i="52"/>
  <c r="U339" i="52"/>
  <c r="R339" i="52"/>
  <c r="Q339" i="52"/>
  <c r="M339" i="52"/>
  <c r="W338" i="52"/>
  <c r="V338" i="52"/>
  <c r="U338" i="52"/>
  <c r="R338" i="52"/>
  <c r="Q338" i="52"/>
  <c r="M338" i="52"/>
  <c r="W337" i="52"/>
  <c r="V337" i="52"/>
  <c r="U337" i="52"/>
  <c r="R337" i="52"/>
  <c r="Q337" i="52"/>
  <c r="M337" i="52"/>
  <c r="W336" i="52"/>
  <c r="V336" i="52"/>
  <c r="U336" i="52"/>
  <c r="T336" i="52"/>
  <c r="R336" i="52"/>
  <c r="Q336" i="52"/>
  <c r="P336" i="52"/>
  <c r="M336" i="52"/>
  <c r="W335" i="52"/>
  <c r="V335" i="52"/>
  <c r="U335" i="52"/>
  <c r="M335" i="52"/>
  <c r="F335" i="52"/>
  <c r="R335" i="52" s="1"/>
  <c r="W334" i="52"/>
  <c r="V334" i="52"/>
  <c r="U334" i="52"/>
  <c r="R334" i="52"/>
  <c r="Q334" i="52"/>
  <c r="W333" i="52"/>
  <c r="V333" i="52"/>
  <c r="U333" i="52"/>
  <c r="R333" i="52"/>
  <c r="Q333" i="52"/>
  <c r="M333" i="52"/>
  <c r="W332" i="52"/>
  <c r="V332" i="52"/>
  <c r="U332" i="52"/>
  <c r="R332" i="52"/>
  <c r="Q332" i="52"/>
  <c r="M332" i="52"/>
  <c r="W331" i="52"/>
  <c r="V331" i="52"/>
  <c r="U331" i="52"/>
  <c r="R331" i="52"/>
  <c r="Q331" i="52"/>
  <c r="M331" i="52"/>
  <c r="W330" i="52"/>
  <c r="V330" i="52"/>
  <c r="U330" i="52"/>
  <c r="T330" i="52"/>
  <c r="P330" i="52"/>
  <c r="M330" i="52"/>
  <c r="F330" i="52"/>
  <c r="R330" i="52" s="1"/>
  <c r="W329" i="52"/>
  <c r="V329" i="52"/>
  <c r="U329" i="52"/>
  <c r="R329" i="52"/>
  <c r="Q329" i="52"/>
  <c r="M329" i="52"/>
  <c r="W328" i="52"/>
  <c r="V328" i="52"/>
  <c r="U328" i="52"/>
  <c r="R328" i="52"/>
  <c r="Q328" i="52"/>
  <c r="W327" i="52"/>
  <c r="V327" i="52"/>
  <c r="U327" i="52"/>
  <c r="R327" i="52"/>
  <c r="Q327" i="52"/>
  <c r="M327" i="52"/>
  <c r="W326" i="52"/>
  <c r="V326" i="52"/>
  <c r="U326" i="52"/>
  <c r="M326" i="52"/>
  <c r="F326" i="52"/>
  <c r="R326" i="52" s="1"/>
  <c r="W325" i="52"/>
  <c r="V325" i="52"/>
  <c r="U325" i="52"/>
  <c r="R325" i="52"/>
  <c r="Q325" i="52"/>
  <c r="M325" i="52"/>
  <c r="W324" i="52"/>
  <c r="V324" i="52"/>
  <c r="U324" i="52"/>
  <c r="T324" i="52"/>
  <c r="R324" i="52"/>
  <c r="Q324" i="52"/>
  <c r="P324" i="52"/>
  <c r="M324" i="52"/>
  <c r="W323" i="52"/>
  <c r="V323" i="52"/>
  <c r="U323" i="52"/>
  <c r="R323" i="52"/>
  <c r="Q323" i="52"/>
  <c r="M323" i="52"/>
  <c r="W322" i="52"/>
  <c r="V322" i="52"/>
  <c r="U322" i="52"/>
  <c r="R322" i="52"/>
  <c r="Q322" i="52"/>
  <c r="M322" i="52"/>
  <c r="W321" i="52"/>
  <c r="V321" i="52"/>
  <c r="U321" i="52"/>
  <c r="M321" i="52"/>
  <c r="F321" i="52"/>
  <c r="R321" i="52" s="1"/>
  <c r="W320" i="52"/>
  <c r="V320" i="52"/>
  <c r="U320" i="52"/>
  <c r="R320" i="52"/>
  <c r="Q320" i="52"/>
  <c r="W319" i="52"/>
  <c r="V319" i="52"/>
  <c r="U319" i="52"/>
  <c r="R319" i="52"/>
  <c r="Q319" i="52"/>
  <c r="W318" i="52"/>
  <c r="V318" i="52"/>
  <c r="U318" i="52"/>
  <c r="R318" i="52"/>
  <c r="Q318" i="52"/>
  <c r="M318" i="52"/>
  <c r="W317" i="52"/>
  <c r="V317" i="52"/>
  <c r="U317" i="52"/>
  <c r="M317" i="52"/>
  <c r="F317" i="52"/>
  <c r="R317" i="52" s="1"/>
  <c r="W316" i="52"/>
  <c r="V316" i="52"/>
  <c r="U316" i="52"/>
  <c r="R316" i="52"/>
  <c r="Q316" i="52"/>
  <c r="M316" i="52"/>
  <c r="W315" i="52"/>
  <c r="V315" i="52"/>
  <c r="U315" i="52"/>
  <c r="R315" i="52"/>
  <c r="Q315" i="52"/>
  <c r="W314" i="52"/>
  <c r="V314" i="52"/>
  <c r="U314" i="52"/>
  <c r="R314" i="52"/>
  <c r="Q314" i="52"/>
  <c r="M314" i="52"/>
  <c r="W313" i="52"/>
  <c r="V313" i="52"/>
  <c r="U313" i="52"/>
  <c r="R313" i="52"/>
  <c r="Q313" i="52"/>
  <c r="M313" i="52"/>
  <c r="W312" i="52"/>
  <c r="V312" i="52"/>
  <c r="U312" i="52"/>
  <c r="M312" i="52"/>
  <c r="R312" i="52"/>
  <c r="W311" i="52"/>
  <c r="V311" i="52"/>
  <c r="U311" i="52"/>
  <c r="T311" i="52"/>
  <c r="P311" i="52"/>
  <c r="M311" i="52"/>
  <c r="R311" i="52"/>
  <c r="W310" i="52"/>
  <c r="V310" i="52"/>
  <c r="U310" i="52"/>
  <c r="R310" i="52"/>
  <c r="Q310" i="52"/>
  <c r="M310" i="52"/>
  <c r="W309" i="52"/>
  <c r="V309" i="52"/>
  <c r="U309" i="52"/>
  <c r="R309" i="52"/>
  <c r="Q309" i="52"/>
  <c r="M309" i="52"/>
  <c r="W308" i="52"/>
  <c r="V308" i="52"/>
  <c r="U308" i="52"/>
  <c r="T308" i="52"/>
  <c r="R308" i="52"/>
  <c r="Q308" i="52"/>
  <c r="P308" i="52"/>
  <c r="M308" i="52"/>
  <c r="W307" i="52"/>
  <c r="V307" i="52"/>
  <c r="U307" i="52"/>
  <c r="R307" i="52"/>
  <c r="Q307" i="52"/>
  <c r="M307" i="52"/>
  <c r="W306" i="52"/>
  <c r="V306" i="52"/>
  <c r="U306" i="52"/>
  <c r="R306" i="52"/>
  <c r="Q306" i="52"/>
  <c r="M306" i="52"/>
  <c r="W305" i="52"/>
  <c r="V305" i="52"/>
  <c r="U305" i="52"/>
  <c r="R305" i="52"/>
  <c r="Q305" i="52"/>
  <c r="W304" i="52"/>
  <c r="V304" i="52"/>
  <c r="U304" i="52"/>
  <c r="R304" i="52"/>
  <c r="Q304" i="52"/>
  <c r="M304" i="52"/>
  <c r="W303" i="52"/>
  <c r="V303" i="52"/>
  <c r="U303" i="52"/>
  <c r="R303" i="52"/>
  <c r="Q303" i="52"/>
  <c r="M303" i="52"/>
  <c r="W302" i="52"/>
  <c r="V302" i="52"/>
  <c r="U302" i="52"/>
  <c r="M302" i="52"/>
  <c r="F302" i="52"/>
  <c r="Q302" i="52" s="1"/>
  <c r="W300" i="52"/>
  <c r="V300" i="52"/>
  <c r="U300" i="52"/>
  <c r="M300" i="52"/>
  <c r="F300" i="52"/>
  <c r="R300" i="52" s="1"/>
  <c r="W299" i="52"/>
  <c r="V299" i="52"/>
  <c r="U299" i="52"/>
  <c r="M299" i="52"/>
  <c r="F299" i="52"/>
  <c r="R299" i="52" s="1"/>
  <c r="W298" i="52"/>
  <c r="V298" i="52"/>
  <c r="U298" i="52"/>
  <c r="R298" i="52"/>
  <c r="Q298" i="52"/>
  <c r="M298" i="52"/>
  <c r="W297" i="52"/>
  <c r="V297" i="52"/>
  <c r="U297" i="52"/>
  <c r="T297" i="52"/>
  <c r="P297" i="52"/>
  <c r="M297" i="52"/>
  <c r="F297" i="52"/>
  <c r="Q297" i="52" s="1"/>
  <c r="W296" i="52"/>
  <c r="V296" i="52"/>
  <c r="U296" i="52"/>
  <c r="T296" i="52"/>
  <c r="R296" i="52"/>
  <c r="Q296" i="52"/>
  <c r="P296" i="52"/>
  <c r="M296" i="52"/>
  <c r="W295" i="52"/>
  <c r="V295" i="52"/>
  <c r="U295" i="52"/>
  <c r="R295" i="52"/>
  <c r="Q295" i="52"/>
  <c r="M295" i="52"/>
  <c r="W294" i="52"/>
  <c r="V294" i="52"/>
  <c r="U294" i="52"/>
  <c r="R294" i="52"/>
  <c r="Q294" i="52"/>
  <c r="M294" i="52"/>
  <c r="W293" i="52"/>
  <c r="V293" i="52"/>
  <c r="U293" i="52"/>
  <c r="M293" i="52"/>
  <c r="F293" i="52"/>
  <c r="R293" i="52" s="1"/>
  <c r="W292" i="52"/>
  <c r="V292" i="52"/>
  <c r="U292" i="52"/>
  <c r="M292" i="52"/>
  <c r="F292" i="52"/>
  <c r="R292" i="52" s="1"/>
  <c r="W290" i="52"/>
  <c r="V290" i="52"/>
  <c r="U290" i="52"/>
  <c r="R290" i="52"/>
  <c r="Q290" i="52"/>
  <c r="M290" i="52"/>
  <c r="W289" i="52"/>
  <c r="V289" i="52"/>
  <c r="U289" i="52"/>
  <c r="R289" i="52"/>
  <c r="Q289" i="52"/>
  <c r="M289" i="52"/>
  <c r="W288" i="52"/>
  <c r="V288" i="52"/>
  <c r="U288" i="52"/>
  <c r="M288" i="52"/>
  <c r="F288" i="52"/>
  <c r="R288" i="52" s="1"/>
  <c r="W287" i="52"/>
  <c r="V287" i="52"/>
  <c r="U287" i="52"/>
  <c r="T287" i="52"/>
  <c r="P287" i="52"/>
  <c r="M287" i="52"/>
  <c r="F287" i="52"/>
  <c r="R287" i="52" s="1"/>
  <c r="R286" i="52"/>
  <c r="Q286" i="52"/>
  <c r="R285" i="52"/>
  <c r="Q285" i="52"/>
  <c r="W284" i="52"/>
  <c r="V284" i="52"/>
  <c r="U284" i="52"/>
  <c r="T284" i="52"/>
  <c r="R284" i="52"/>
  <c r="Q284" i="52"/>
  <c r="P284" i="52"/>
  <c r="M284" i="52"/>
  <c r="W283" i="52"/>
  <c r="V283" i="52"/>
  <c r="U283" i="52"/>
  <c r="T283" i="52"/>
  <c r="P283" i="52"/>
  <c r="M283" i="52"/>
  <c r="F283" i="52"/>
  <c r="R283" i="52" s="1"/>
  <c r="W282" i="52"/>
  <c r="V282" i="52"/>
  <c r="U282" i="52"/>
  <c r="T282" i="52"/>
  <c r="P282" i="52"/>
  <c r="M282" i="52"/>
  <c r="F282" i="52"/>
  <c r="R282" i="52" s="1"/>
  <c r="W281" i="52"/>
  <c r="V281" i="52"/>
  <c r="U281" i="52"/>
  <c r="T281" i="52"/>
  <c r="P281" i="52"/>
  <c r="M281" i="52"/>
  <c r="F281" i="52"/>
  <c r="R281" i="52" s="1"/>
  <c r="W280" i="52"/>
  <c r="V280" i="52"/>
  <c r="U280" i="52"/>
  <c r="T280" i="52"/>
  <c r="P280" i="52"/>
  <c r="M280" i="52"/>
  <c r="F280" i="52"/>
  <c r="R280" i="52" s="1"/>
  <c r="W279" i="52"/>
  <c r="V279" i="52"/>
  <c r="U279" i="52"/>
  <c r="T279" i="52"/>
  <c r="R279" i="52"/>
  <c r="P279" i="52"/>
  <c r="M279" i="52"/>
  <c r="W278" i="52"/>
  <c r="V278" i="52"/>
  <c r="U278" i="52"/>
  <c r="T278" i="52"/>
  <c r="P278" i="52"/>
  <c r="M278" i="52"/>
  <c r="F278" i="52"/>
  <c r="R278" i="52" s="1"/>
  <c r="E278" i="52"/>
  <c r="W277" i="52"/>
  <c r="V277" i="52"/>
  <c r="U277" i="52"/>
  <c r="T277" i="52"/>
  <c r="P277" i="52"/>
  <c r="M277" i="52"/>
  <c r="F277" i="52"/>
  <c r="R277" i="52" s="1"/>
  <c r="W276" i="52"/>
  <c r="V276" i="52"/>
  <c r="U276" i="52"/>
  <c r="T276" i="52"/>
  <c r="P276" i="52"/>
  <c r="M276" i="52"/>
  <c r="F276" i="52"/>
  <c r="Q276" i="52" s="1"/>
  <c r="W275" i="52"/>
  <c r="V275" i="52"/>
  <c r="U275" i="52"/>
  <c r="T275" i="52"/>
  <c r="P275" i="52"/>
  <c r="M275" i="52"/>
  <c r="F275" i="52"/>
  <c r="R275" i="52" s="1"/>
  <c r="W274" i="52"/>
  <c r="V274" i="52"/>
  <c r="U274" i="52"/>
  <c r="T274" i="52"/>
  <c r="P274" i="52"/>
  <c r="M274" i="52"/>
  <c r="F274" i="52"/>
  <c r="R274" i="52" s="1"/>
  <c r="W273" i="52"/>
  <c r="V273" i="52"/>
  <c r="U273" i="52"/>
  <c r="T273" i="52"/>
  <c r="P273" i="52"/>
  <c r="M273" i="52"/>
  <c r="F273" i="52"/>
  <c r="Q273" i="52" s="1"/>
  <c r="W272" i="52"/>
  <c r="V272" i="52"/>
  <c r="U272" i="52"/>
  <c r="T272" i="52"/>
  <c r="P272" i="52"/>
  <c r="M272" i="52"/>
  <c r="F272" i="52"/>
  <c r="R272" i="52" s="1"/>
  <c r="W271" i="52"/>
  <c r="V271" i="52"/>
  <c r="U271" i="52"/>
  <c r="T271" i="52"/>
  <c r="R271" i="52"/>
  <c r="Q271" i="52"/>
  <c r="P271" i="52"/>
  <c r="W270" i="52"/>
  <c r="V270" i="52"/>
  <c r="U270" i="52"/>
  <c r="T270" i="52"/>
  <c r="P270" i="52"/>
  <c r="M270" i="52"/>
  <c r="F270" i="52"/>
  <c r="R270" i="52" s="1"/>
  <c r="W269" i="52"/>
  <c r="V269" i="52"/>
  <c r="U269" i="52"/>
  <c r="T269" i="52"/>
  <c r="P269" i="52"/>
  <c r="M269" i="52"/>
  <c r="R269" i="52"/>
  <c r="W268" i="52"/>
  <c r="V268" i="52"/>
  <c r="U268" i="52"/>
  <c r="T268" i="52"/>
  <c r="R268" i="52"/>
  <c r="Q268" i="52"/>
  <c r="P268" i="52"/>
  <c r="M268" i="52"/>
  <c r="W267" i="52"/>
  <c r="V267" i="52"/>
  <c r="U267" i="52"/>
  <c r="T267" i="52"/>
  <c r="R267" i="52"/>
  <c r="Q267" i="52"/>
  <c r="P267" i="52"/>
  <c r="M267" i="52"/>
  <c r="W266" i="52"/>
  <c r="V266" i="52"/>
  <c r="U266" i="52"/>
  <c r="T266" i="52"/>
  <c r="R266" i="52"/>
  <c r="Q266" i="52"/>
  <c r="P266" i="52"/>
  <c r="M266" i="52"/>
  <c r="W265" i="52"/>
  <c r="V265" i="52"/>
  <c r="U265" i="52"/>
  <c r="T265" i="52"/>
  <c r="R265" i="52"/>
  <c r="Q265" i="52"/>
  <c r="P265" i="52"/>
  <c r="M265" i="52"/>
  <c r="W264" i="52"/>
  <c r="V264" i="52"/>
  <c r="U264" i="52"/>
  <c r="T264" i="52"/>
  <c r="R264" i="52"/>
  <c r="Q264" i="52"/>
  <c r="P264" i="52"/>
  <c r="M264" i="52"/>
  <c r="W263" i="52"/>
  <c r="V263" i="52"/>
  <c r="U263" i="52"/>
  <c r="T263" i="52"/>
  <c r="R263" i="52"/>
  <c r="Q263" i="52"/>
  <c r="P263" i="52"/>
  <c r="M263" i="52"/>
  <c r="W262" i="52"/>
  <c r="V262" i="52"/>
  <c r="U262" i="52"/>
  <c r="T262" i="52"/>
  <c r="R262" i="52"/>
  <c r="Q262" i="52"/>
  <c r="P262" i="52"/>
  <c r="M262" i="52"/>
  <c r="W261" i="52"/>
  <c r="V261" i="52"/>
  <c r="U261" i="52"/>
  <c r="T261" i="52"/>
  <c r="P261" i="52"/>
  <c r="M261" i="52"/>
  <c r="F261" i="52"/>
  <c r="R261" i="52" s="1"/>
  <c r="W260" i="52"/>
  <c r="V260" i="52"/>
  <c r="U260" i="52"/>
  <c r="T260" i="52"/>
  <c r="P260" i="52"/>
  <c r="M260" i="52"/>
  <c r="F260" i="52"/>
  <c r="R260" i="52" s="1"/>
  <c r="W259" i="52"/>
  <c r="V259" i="52"/>
  <c r="U259" i="52"/>
  <c r="T259" i="52"/>
  <c r="R259" i="52"/>
  <c r="Q259" i="52"/>
  <c r="P259" i="52"/>
  <c r="M259" i="52"/>
  <c r="W258" i="52"/>
  <c r="V258" i="52"/>
  <c r="U258" i="52"/>
  <c r="T258" i="52"/>
  <c r="R258" i="52"/>
  <c r="Q258" i="52"/>
  <c r="P258" i="52"/>
  <c r="M258" i="52"/>
  <c r="W257" i="52"/>
  <c r="V257" i="52"/>
  <c r="U257" i="52"/>
  <c r="T257" i="52"/>
  <c r="R257" i="52"/>
  <c r="Q257" i="52"/>
  <c r="P257" i="52"/>
  <c r="M257" i="52"/>
  <c r="W256" i="52"/>
  <c r="V256" i="52"/>
  <c r="U256" i="52"/>
  <c r="T256" i="52"/>
  <c r="R256" i="52"/>
  <c r="Q256" i="52"/>
  <c r="P256" i="52"/>
  <c r="M256" i="52"/>
  <c r="W255" i="52"/>
  <c r="V255" i="52"/>
  <c r="U255" i="52"/>
  <c r="T255" i="52"/>
  <c r="R255" i="52"/>
  <c r="Q255" i="52"/>
  <c r="P255" i="52"/>
  <c r="M255" i="52"/>
  <c r="W254" i="52"/>
  <c r="V254" i="52"/>
  <c r="U254" i="52"/>
  <c r="T254" i="52"/>
  <c r="R254" i="52"/>
  <c r="Q254" i="52"/>
  <c r="P254" i="52"/>
  <c r="M254" i="52"/>
  <c r="W253" i="52"/>
  <c r="V253" i="52"/>
  <c r="U253" i="52"/>
  <c r="T253" i="52"/>
  <c r="R253" i="52"/>
  <c r="Q253" i="52"/>
  <c r="P253" i="52"/>
  <c r="M253" i="52"/>
  <c r="W252" i="52"/>
  <c r="V252" i="52"/>
  <c r="U252" i="52"/>
  <c r="T252" i="52"/>
  <c r="R252" i="52"/>
  <c r="Q252" i="52"/>
  <c r="P252" i="52"/>
  <c r="M252" i="52"/>
  <c r="W251" i="52"/>
  <c r="V251" i="52"/>
  <c r="U251" i="52"/>
  <c r="T251" i="52"/>
  <c r="R251" i="52"/>
  <c r="Q251" i="52"/>
  <c r="P251" i="52"/>
  <c r="M251" i="52"/>
  <c r="W250" i="52"/>
  <c r="V250" i="52"/>
  <c r="U250" i="52"/>
  <c r="T250" i="52"/>
  <c r="R250" i="52"/>
  <c r="Q250" i="52"/>
  <c r="P250" i="52"/>
  <c r="M250" i="52"/>
  <c r="W249" i="52"/>
  <c r="V249" i="52"/>
  <c r="U249" i="52"/>
  <c r="T249" i="52"/>
  <c r="R249" i="52"/>
  <c r="Q249" i="52"/>
  <c r="P249" i="52"/>
  <c r="M249" i="52"/>
  <c r="W248" i="52"/>
  <c r="V248" i="52"/>
  <c r="U248" i="52"/>
  <c r="T248" i="52"/>
  <c r="P248" i="52"/>
  <c r="M248" i="52"/>
  <c r="F248" i="52"/>
  <c r="R248" i="52" s="1"/>
  <c r="W247" i="52"/>
  <c r="V247" i="52"/>
  <c r="U247" i="52"/>
  <c r="T247" i="52"/>
  <c r="R247" i="52"/>
  <c r="Q247" i="52"/>
  <c r="P247" i="52"/>
  <c r="M247" i="52"/>
  <c r="W246" i="52"/>
  <c r="V246" i="52"/>
  <c r="U246" i="52"/>
  <c r="T246" i="52"/>
  <c r="R246" i="52"/>
  <c r="Q246" i="52"/>
  <c r="P246" i="52"/>
  <c r="M246" i="52"/>
  <c r="W245" i="52"/>
  <c r="V245" i="52"/>
  <c r="U245" i="52"/>
  <c r="T245" i="52"/>
  <c r="R245" i="52"/>
  <c r="Q245" i="52"/>
  <c r="P245" i="52"/>
  <c r="M245" i="52"/>
  <c r="W244" i="52"/>
  <c r="V244" i="52"/>
  <c r="U244" i="52"/>
  <c r="T244" i="52"/>
  <c r="R244" i="52"/>
  <c r="Q244" i="52"/>
  <c r="P244" i="52"/>
  <c r="M244" i="52"/>
  <c r="W243" i="52"/>
  <c r="V243" i="52"/>
  <c r="U243" i="52"/>
  <c r="T243" i="52"/>
  <c r="P243" i="52"/>
  <c r="M243" i="52"/>
  <c r="F243" i="52"/>
  <c r="R243" i="52" s="1"/>
  <c r="W242" i="52"/>
  <c r="V242" i="52"/>
  <c r="U242" i="52"/>
  <c r="T242" i="52"/>
  <c r="P242" i="52"/>
  <c r="M242" i="52"/>
  <c r="F242" i="52"/>
  <c r="R242" i="52" s="1"/>
  <c r="W241" i="52"/>
  <c r="V241" i="52"/>
  <c r="U241" i="52"/>
  <c r="T241" i="52"/>
  <c r="R241" i="52"/>
  <c r="Q241" i="52"/>
  <c r="P241" i="52"/>
  <c r="M241" i="52"/>
  <c r="W240" i="52"/>
  <c r="V240" i="52"/>
  <c r="U240" i="52"/>
  <c r="T240" i="52"/>
  <c r="R240" i="52"/>
  <c r="Q240" i="52"/>
  <c r="P240" i="52"/>
  <c r="M240" i="52"/>
  <c r="W239" i="52"/>
  <c r="V239" i="52"/>
  <c r="U239" i="52"/>
  <c r="T239" i="52"/>
  <c r="R239" i="52"/>
  <c r="Q239" i="52"/>
  <c r="P239" i="52"/>
  <c r="M239" i="52"/>
  <c r="W238" i="52"/>
  <c r="V238" i="52"/>
  <c r="U238" i="52"/>
  <c r="T238" i="52"/>
  <c r="R238" i="52"/>
  <c r="Q238" i="52"/>
  <c r="P238" i="52"/>
  <c r="M238" i="52"/>
  <c r="W237" i="52"/>
  <c r="V237" i="52"/>
  <c r="U237" i="52"/>
  <c r="T237" i="52"/>
  <c r="R237" i="52"/>
  <c r="Q237" i="52"/>
  <c r="P237" i="52"/>
  <c r="M237" i="52"/>
  <c r="W236" i="52"/>
  <c r="V236" i="52"/>
  <c r="U236" i="52"/>
  <c r="T236" i="52"/>
  <c r="P236" i="52"/>
  <c r="M236" i="52"/>
  <c r="F236" i="52"/>
  <c r="Q236" i="52" s="1"/>
  <c r="W235" i="52"/>
  <c r="V235" i="52"/>
  <c r="U235" i="52"/>
  <c r="T235" i="52"/>
  <c r="R235" i="52"/>
  <c r="Q235" i="52"/>
  <c r="P235" i="52"/>
  <c r="M235" i="52"/>
  <c r="W234" i="52"/>
  <c r="V234" i="52"/>
  <c r="U234" i="52"/>
  <c r="T234" i="52"/>
  <c r="R234" i="52"/>
  <c r="Q234" i="52"/>
  <c r="P234" i="52"/>
  <c r="M234" i="52"/>
  <c r="W233" i="52"/>
  <c r="V233" i="52"/>
  <c r="U233" i="52"/>
  <c r="T233" i="52"/>
  <c r="R233" i="52"/>
  <c r="Q233" i="52"/>
  <c r="P233" i="52"/>
  <c r="M233" i="52"/>
  <c r="W232" i="52"/>
  <c r="V232" i="52"/>
  <c r="U232" i="52"/>
  <c r="T232" i="52"/>
  <c r="R232" i="52"/>
  <c r="Q232" i="52"/>
  <c r="P232" i="52"/>
  <c r="M232" i="52"/>
  <c r="W231" i="52"/>
  <c r="V231" i="52"/>
  <c r="U231" i="52"/>
  <c r="T231" i="52"/>
  <c r="R231" i="52"/>
  <c r="Q231" i="52"/>
  <c r="P231" i="52"/>
  <c r="M231" i="52"/>
  <c r="W230" i="52"/>
  <c r="V230" i="52"/>
  <c r="U230" i="52"/>
  <c r="T230" i="52"/>
  <c r="P230" i="52"/>
  <c r="M230" i="52"/>
  <c r="R230" i="52"/>
  <c r="W229" i="52"/>
  <c r="V229" i="52"/>
  <c r="U229" i="52"/>
  <c r="T229" i="52"/>
  <c r="R229" i="52"/>
  <c r="Q229" i="52"/>
  <c r="P229" i="52"/>
  <c r="M229" i="52"/>
  <c r="W228" i="52"/>
  <c r="V228" i="52"/>
  <c r="U228" i="52"/>
  <c r="T228" i="52"/>
  <c r="R228" i="52"/>
  <c r="Q228" i="52"/>
  <c r="P228" i="52"/>
  <c r="M228" i="52"/>
  <c r="W227" i="52"/>
  <c r="V227" i="52"/>
  <c r="U227" i="52"/>
  <c r="T227" i="52"/>
  <c r="R227" i="52"/>
  <c r="Q227" i="52"/>
  <c r="P227" i="52"/>
  <c r="M227" i="52"/>
  <c r="W226" i="52"/>
  <c r="V226" i="52"/>
  <c r="U226" i="52"/>
  <c r="T226" i="52"/>
  <c r="R226" i="52"/>
  <c r="Q226" i="52"/>
  <c r="P226" i="52"/>
  <c r="M226" i="52"/>
  <c r="W225" i="52"/>
  <c r="V225" i="52"/>
  <c r="U225" i="52"/>
  <c r="T225" i="52"/>
  <c r="R225" i="52"/>
  <c r="Q225" i="52"/>
  <c r="P225" i="52"/>
  <c r="M225" i="52"/>
  <c r="W224" i="52"/>
  <c r="V224" i="52"/>
  <c r="U224" i="52"/>
  <c r="T224" i="52"/>
  <c r="R224" i="52"/>
  <c r="Q224" i="52"/>
  <c r="P224" i="52"/>
  <c r="M224" i="52"/>
  <c r="W223" i="52"/>
  <c r="V223" i="52"/>
  <c r="U223" i="52"/>
  <c r="T223" i="52"/>
  <c r="R223" i="52"/>
  <c r="Q223" i="52"/>
  <c r="P223" i="52"/>
  <c r="M223" i="52"/>
  <c r="W222" i="52"/>
  <c r="V222" i="52"/>
  <c r="U222" i="52"/>
  <c r="T222" i="52"/>
  <c r="R222" i="52"/>
  <c r="Q222" i="52"/>
  <c r="P222" i="52"/>
  <c r="M222" i="52"/>
  <c r="W221" i="52"/>
  <c r="V221" i="52"/>
  <c r="U221" i="52"/>
  <c r="T221" i="52"/>
  <c r="R221" i="52"/>
  <c r="Q221" i="52"/>
  <c r="P221" i="52"/>
  <c r="M221" i="52"/>
  <c r="W220" i="52"/>
  <c r="V220" i="52"/>
  <c r="U220" i="52"/>
  <c r="T220" i="52"/>
  <c r="R220" i="52"/>
  <c r="Q220" i="52"/>
  <c r="P220" i="52"/>
  <c r="M220" i="52"/>
  <c r="W219" i="52"/>
  <c r="V219" i="52"/>
  <c r="U219" i="52"/>
  <c r="T219" i="52"/>
  <c r="R219" i="52"/>
  <c r="Q219" i="52"/>
  <c r="P219" i="52"/>
  <c r="M219" i="52"/>
  <c r="W218" i="52"/>
  <c r="V218" i="52"/>
  <c r="U218" i="52"/>
  <c r="T218" i="52"/>
  <c r="P218" i="52"/>
  <c r="M218" i="52"/>
  <c r="F218" i="52"/>
  <c r="R218" i="52" s="1"/>
  <c r="W217" i="52"/>
  <c r="V217" i="52"/>
  <c r="U217" i="52"/>
  <c r="T217" i="52"/>
  <c r="P217" i="52"/>
  <c r="M217" i="52"/>
  <c r="F217" i="52"/>
  <c r="Q217" i="52" s="1"/>
  <c r="W216" i="52"/>
  <c r="V216" i="52"/>
  <c r="U216" i="52"/>
  <c r="T216" i="52"/>
  <c r="P216" i="52"/>
  <c r="M216" i="52"/>
  <c r="F216" i="52"/>
  <c r="R216" i="52" s="1"/>
  <c r="B216" i="52"/>
  <c r="B217" i="52" s="1"/>
  <c r="B218" i="52" s="1"/>
  <c r="B219" i="52" s="1"/>
  <c r="B220" i="52" s="1"/>
  <c r="B221" i="52" s="1"/>
  <c r="B222" i="52" s="1"/>
  <c r="B223" i="52" s="1"/>
  <c r="B224" i="52" s="1"/>
  <c r="B225" i="52" s="1"/>
  <c r="B226" i="52" s="1"/>
  <c r="B227" i="52" s="1"/>
  <c r="B228" i="52" s="1"/>
  <c r="B229" i="52" s="1"/>
  <c r="B230" i="52" s="1"/>
  <c r="B231" i="52" s="1"/>
  <c r="B232" i="52" s="1"/>
  <c r="B233" i="52" s="1"/>
  <c r="B234" i="52" s="1"/>
  <c r="B235" i="52" s="1"/>
  <c r="B236" i="52" s="1"/>
  <c r="B237" i="52" s="1"/>
  <c r="B238" i="52" s="1"/>
  <c r="B239" i="52" s="1"/>
  <c r="B240" i="52" s="1"/>
  <c r="B241" i="52" s="1"/>
  <c r="B242" i="52" s="1"/>
  <c r="B243" i="52" s="1"/>
  <c r="B244" i="52" s="1"/>
  <c r="B245" i="52" s="1"/>
  <c r="B246" i="52" s="1"/>
  <c r="B247" i="52" s="1"/>
  <c r="B248" i="52" s="1"/>
  <c r="B249" i="52" s="1"/>
  <c r="B250" i="52" s="1"/>
  <c r="B251" i="52" s="1"/>
  <c r="B252" i="52" s="1"/>
  <c r="B253" i="52" s="1"/>
  <c r="B254" i="52" s="1"/>
  <c r="B255" i="52" s="1"/>
  <c r="B256" i="52" s="1"/>
  <c r="B257" i="52" s="1"/>
  <c r="B258" i="52" s="1"/>
  <c r="B259" i="52" s="1"/>
  <c r="B260" i="52" s="1"/>
  <c r="B261" i="52" s="1"/>
  <c r="B262" i="52" s="1"/>
  <c r="B263" i="52" s="1"/>
  <c r="B264" i="52" s="1"/>
  <c r="B265" i="52" s="1"/>
  <c r="B266" i="52" s="1"/>
  <c r="B267" i="52" s="1"/>
  <c r="B268" i="52" s="1"/>
  <c r="B269" i="52" s="1"/>
  <c r="B270" i="52" s="1"/>
  <c r="B271" i="52" s="1"/>
  <c r="B272" i="52" s="1"/>
  <c r="B273" i="52" s="1"/>
  <c r="B274" i="52" s="1"/>
  <c r="B275" i="52" s="1"/>
  <c r="B276" i="52" s="1"/>
  <c r="B277" i="52" s="1"/>
  <c r="B278" i="52" s="1"/>
  <c r="B279" i="52" s="1"/>
  <c r="B280" i="52" s="1"/>
  <c r="B281" i="52" s="1"/>
  <c r="B282" i="52" s="1"/>
  <c r="W215" i="52"/>
  <c r="V215" i="52"/>
  <c r="U215" i="52"/>
  <c r="T215" i="52"/>
  <c r="R215" i="52"/>
  <c r="Q215" i="52"/>
  <c r="P215" i="52"/>
  <c r="M215" i="52"/>
  <c r="W214" i="52"/>
  <c r="V214" i="52"/>
  <c r="U214" i="52"/>
  <c r="T214" i="52"/>
  <c r="R214" i="52"/>
  <c r="Q214" i="52"/>
  <c r="P214" i="52"/>
  <c r="M214" i="52"/>
  <c r="W213" i="52"/>
  <c r="V213" i="52"/>
  <c r="U213" i="52"/>
  <c r="T213" i="52"/>
  <c r="R213" i="52"/>
  <c r="Q213" i="52"/>
  <c r="P213" i="52"/>
  <c r="M213" i="52"/>
  <c r="W211" i="52"/>
  <c r="V211" i="52"/>
  <c r="U211" i="52"/>
  <c r="T211" i="52"/>
  <c r="R211" i="52"/>
  <c r="Q211" i="52"/>
  <c r="P211" i="52"/>
  <c r="M211" i="52"/>
  <c r="W210" i="52"/>
  <c r="V210" i="52"/>
  <c r="U210" i="52"/>
  <c r="T210" i="52"/>
  <c r="P210" i="52"/>
  <c r="M210" i="52"/>
  <c r="R210" i="52"/>
  <c r="W209" i="52"/>
  <c r="V209" i="52"/>
  <c r="U209" i="52"/>
  <c r="T209" i="52"/>
  <c r="P209" i="52"/>
  <c r="M209" i="52"/>
  <c r="F209" i="52"/>
  <c r="R209" i="52" s="1"/>
  <c r="W208" i="52"/>
  <c r="V208" i="52"/>
  <c r="U208" i="52"/>
  <c r="T208" i="52"/>
  <c r="R208" i="52"/>
  <c r="Q208" i="52"/>
  <c r="P208" i="52"/>
  <c r="M208" i="52"/>
  <c r="W207" i="52"/>
  <c r="V207" i="52"/>
  <c r="U207" i="52"/>
  <c r="T207" i="52"/>
  <c r="R207" i="52"/>
  <c r="Q207" i="52"/>
  <c r="P207" i="52"/>
  <c r="M207" i="52"/>
  <c r="W206" i="52"/>
  <c r="V206" i="52"/>
  <c r="U206" i="52"/>
  <c r="T206" i="52"/>
  <c r="P206" i="52"/>
  <c r="M206" i="52"/>
  <c r="F206" i="52"/>
  <c r="Q206" i="52" s="1"/>
  <c r="W205" i="52"/>
  <c r="V205" i="52"/>
  <c r="U205" i="52"/>
  <c r="T205" i="52"/>
  <c r="R205" i="52"/>
  <c r="Q205" i="52"/>
  <c r="P205" i="52"/>
  <c r="M205" i="52"/>
  <c r="W204" i="52"/>
  <c r="V204" i="52"/>
  <c r="U204" i="52"/>
  <c r="T204" i="52"/>
  <c r="R204" i="52"/>
  <c r="Q204" i="52"/>
  <c r="P204" i="52"/>
  <c r="M204" i="52"/>
  <c r="W203" i="52"/>
  <c r="V203" i="52"/>
  <c r="U203" i="52"/>
  <c r="T203" i="52"/>
  <c r="P203" i="52"/>
  <c r="M203" i="52"/>
  <c r="F203" i="52"/>
  <c r="R203" i="52" s="1"/>
  <c r="W202" i="52"/>
  <c r="V202" i="52"/>
  <c r="U202" i="52"/>
  <c r="T202" i="52"/>
  <c r="R202" i="52"/>
  <c r="Q202" i="52"/>
  <c r="P202" i="52"/>
  <c r="M202" i="52"/>
  <c r="W201" i="52"/>
  <c r="V201" i="52"/>
  <c r="U201" i="52"/>
  <c r="T201" i="52"/>
  <c r="R201" i="52"/>
  <c r="Q201" i="52"/>
  <c r="P201" i="52"/>
  <c r="M201" i="52"/>
  <c r="W200" i="52"/>
  <c r="V200" i="52"/>
  <c r="U200" i="52"/>
  <c r="T200" i="52"/>
  <c r="P200" i="52"/>
  <c r="M200" i="52"/>
  <c r="F200" i="52"/>
  <c r="R200" i="52" s="1"/>
  <c r="W199" i="52"/>
  <c r="V199" i="52"/>
  <c r="U199" i="52"/>
  <c r="T199" i="52"/>
  <c r="R199" i="52"/>
  <c r="Q199" i="52"/>
  <c r="P199" i="52"/>
  <c r="M199" i="52"/>
  <c r="W198" i="52"/>
  <c r="V198" i="52"/>
  <c r="U198" i="52"/>
  <c r="T198" i="52"/>
  <c r="P198" i="52"/>
  <c r="M198" i="52"/>
  <c r="F198" i="52"/>
  <c r="W197" i="52"/>
  <c r="V197" i="52"/>
  <c r="U197" i="52"/>
  <c r="T197" i="52"/>
  <c r="R197" i="52"/>
  <c r="Q197" i="52"/>
  <c r="P197" i="52"/>
  <c r="M197" i="52"/>
  <c r="W196" i="52"/>
  <c r="V196" i="52"/>
  <c r="U196" i="52"/>
  <c r="T196" i="52"/>
  <c r="P196" i="52"/>
  <c r="M196" i="52"/>
  <c r="R196" i="52"/>
  <c r="W195" i="52"/>
  <c r="V195" i="52"/>
  <c r="U195" i="52"/>
  <c r="T195" i="52"/>
  <c r="R195" i="52"/>
  <c r="Q195" i="52"/>
  <c r="P195" i="52"/>
  <c r="M195" i="52"/>
  <c r="W194" i="52"/>
  <c r="V194" i="52"/>
  <c r="U194" i="52"/>
  <c r="T194" i="52"/>
  <c r="R194" i="52"/>
  <c r="Q194" i="52"/>
  <c r="P194" i="52"/>
  <c r="M194" i="52"/>
  <c r="W193" i="52"/>
  <c r="V193" i="52"/>
  <c r="U193" i="52"/>
  <c r="T193" i="52"/>
  <c r="R193" i="52"/>
  <c r="Q193" i="52"/>
  <c r="P193" i="52"/>
  <c r="M193" i="52"/>
  <c r="W192" i="52"/>
  <c r="V192" i="52"/>
  <c r="U192" i="52"/>
  <c r="T192" i="52"/>
  <c r="R192" i="52"/>
  <c r="Q192" i="52"/>
  <c r="P192" i="52"/>
  <c r="M192" i="52"/>
  <c r="W191" i="52"/>
  <c r="V191" i="52"/>
  <c r="U191" i="52"/>
  <c r="T191" i="52"/>
  <c r="R191" i="52"/>
  <c r="Q191" i="52"/>
  <c r="P191" i="52"/>
  <c r="M191" i="52"/>
  <c r="W190" i="52"/>
  <c r="V190" i="52"/>
  <c r="U190" i="52"/>
  <c r="T190" i="52"/>
  <c r="R190" i="52"/>
  <c r="Q190" i="52"/>
  <c r="P190" i="52"/>
  <c r="M190" i="52"/>
  <c r="W189" i="52"/>
  <c r="V189" i="52"/>
  <c r="U189" i="52"/>
  <c r="T189" i="52"/>
  <c r="R189" i="52"/>
  <c r="Q189" i="52"/>
  <c r="P189" i="52"/>
  <c r="M189" i="52"/>
  <c r="W188" i="52"/>
  <c r="V188" i="52"/>
  <c r="U188" i="52"/>
  <c r="T188" i="52"/>
  <c r="R188" i="52"/>
  <c r="Q188" i="52"/>
  <c r="P188" i="52"/>
  <c r="M188" i="52"/>
  <c r="W187" i="52"/>
  <c r="V187" i="52"/>
  <c r="U187" i="52"/>
  <c r="T187" i="52"/>
  <c r="R187" i="52"/>
  <c r="Q187" i="52"/>
  <c r="P187" i="52"/>
  <c r="M187" i="52"/>
  <c r="W186" i="52"/>
  <c r="V186" i="52"/>
  <c r="U186" i="52"/>
  <c r="T186" i="52"/>
  <c r="R186" i="52"/>
  <c r="Q186" i="52"/>
  <c r="P186" i="52"/>
  <c r="M186" i="52"/>
  <c r="W185" i="52"/>
  <c r="V185" i="52"/>
  <c r="U185" i="52"/>
  <c r="T185" i="52"/>
  <c r="R185" i="52"/>
  <c r="Q185" i="52"/>
  <c r="P185" i="52"/>
  <c r="M185" i="52"/>
  <c r="W184" i="52"/>
  <c r="V184" i="52"/>
  <c r="U184" i="52"/>
  <c r="T184" i="52"/>
  <c r="R184" i="52"/>
  <c r="Q184" i="52"/>
  <c r="P184" i="52"/>
  <c r="M184" i="52"/>
  <c r="W183" i="52"/>
  <c r="V183" i="52"/>
  <c r="U183" i="52"/>
  <c r="T183" i="52"/>
  <c r="R183" i="52"/>
  <c r="Q183" i="52"/>
  <c r="P183" i="52"/>
  <c r="M183" i="52"/>
  <c r="W182" i="52"/>
  <c r="V182" i="52"/>
  <c r="U182" i="52"/>
  <c r="T182" i="52"/>
  <c r="P182" i="52"/>
  <c r="M182" i="52"/>
  <c r="F182" i="52"/>
  <c r="R182" i="52" s="1"/>
  <c r="W181" i="52"/>
  <c r="V181" i="52"/>
  <c r="U181" i="52"/>
  <c r="T181" i="52"/>
  <c r="R181" i="52"/>
  <c r="Q181" i="52"/>
  <c r="P181" i="52"/>
  <c r="M181" i="52"/>
  <c r="W180" i="52"/>
  <c r="V180" i="52"/>
  <c r="U180" i="52"/>
  <c r="T180" i="52"/>
  <c r="R180" i="52"/>
  <c r="Q180" i="52"/>
  <c r="P180" i="52"/>
  <c r="M180" i="52"/>
  <c r="W156" i="52"/>
  <c r="V156" i="52"/>
  <c r="U156" i="52"/>
  <c r="T156" i="52"/>
  <c r="R156" i="52"/>
  <c r="Q156" i="52"/>
  <c r="P156" i="52"/>
  <c r="M156" i="52"/>
  <c r="W155" i="52"/>
  <c r="V155" i="52"/>
  <c r="U155" i="52"/>
  <c r="T155" i="52"/>
  <c r="P155" i="52"/>
  <c r="M155" i="52"/>
  <c r="R155" i="52"/>
  <c r="W154" i="52"/>
  <c r="V154" i="52"/>
  <c r="U154" i="52"/>
  <c r="T154" i="52"/>
  <c r="R154" i="52"/>
  <c r="Q154" i="52"/>
  <c r="P154" i="52"/>
  <c r="M154" i="52"/>
  <c r="W153" i="52"/>
  <c r="V153" i="52"/>
  <c r="U153" i="52"/>
  <c r="T153" i="52"/>
  <c r="R153" i="52"/>
  <c r="Q153" i="52"/>
  <c r="P153" i="52"/>
  <c r="M153" i="52"/>
  <c r="W139" i="52"/>
  <c r="V139" i="52"/>
  <c r="U139" i="52"/>
  <c r="T139" i="52"/>
  <c r="R139" i="52"/>
  <c r="Q139" i="52"/>
  <c r="P139" i="52"/>
  <c r="M139" i="52"/>
  <c r="W125" i="52"/>
  <c r="V125" i="52"/>
  <c r="U125" i="52"/>
  <c r="T125" i="52"/>
  <c r="P125" i="52"/>
  <c r="M125" i="52"/>
  <c r="F125" i="52"/>
  <c r="R125" i="52" s="1"/>
  <c r="W124" i="52"/>
  <c r="V124" i="52"/>
  <c r="U124" i="52"/>
  <c r="T124" i="52"/>
  <c r="P124" i="52"/>
  <c r="M124" i="52"/>
  <c r="F124" i="52"/>
  <c r="R124" i="52" s="1"/>
  <c r="W117" i="52"/>
  <c r="V117" i="52"/>
  <c r="U117" i="52"/>
  <c r="T117" i="52"/>
  <c r="P117" i="52"/>
  <c r="M117" i="52"/>
  <c r="F117" i="52"/>
  <c r="Q117" i="52" s="1"/>
  <c r="W116" i="52"/>
  <c r="V116" i="52"/>
  <c r="U116" i="52"/>
  <c r="T116" i="52"/>
  <c r="R116" i="52"/>
  <c r="Q116" i="52"/>
  <c r="P116" i="52"/>
  <c r="M116" i="52"/>
  <c r="W111" i="52"/>
  <c r="V111" i="52"/>
  <c r="U111" i="52"/>
  <c r="T111" i="52"/>
  <c r="R111" i="52"/>
  <c r="Q111" i="52"/>
  <c r="P111" i="52"/>
  <c r="M111" i="52"/>
  <c r="W107" i="52"/>
  <c r="V107" i="52"/>
  <c r="U107" i="52"/>
  <c r="T107" i="52"/>
  <c r="P107" i="52"/>
  <c r="M107" i="52"/>
  <c r="R107" i="52"/>
  <c r="W105" i="52"/>
  <c r="V105" i="52"/>
  <c r="U105" i="52"/>
  <c r="T105" i="52"/>
  <c r="R105" i="52"/>
  <c r="Q105" i="52"/>
  <c r="P105" i="52"/>
  <c r="M105" i="52"/>
  <c r="W104" i="52"/>
  <c r="V104" i="52"/>
  <c r="U104" i="52"/>
  <c r="T104" i="52"/>
  <c r="R104" i="52"/>
  <c r="Q104" i="52"/>
  <c r="P104" i="52"/>
  <c r="M104" i="52"/>
  <c r="W103" i="52"/>
  <c r="V103" i="52"/>
  <c r="U103" i="52"/>
  <c r="T103" i="52"/>
  <c r="P103" i="52"/>
  <c r="M103" i="52"/>
  <c r="R103" i="52"/>
  <c r="U102" i="52"/>
  <c r="F102" i="52"/>
  <c r="R102" i="52" s="1"/>
  <c r="U101" i="52"/>
  <c r="R101" i="52"/>
  <c r="Q101" i="52"/>
  <c r="U100" i="52"/>
  <c r="F100" i="52"/>
  <c r="R100" i="52" s="1"/>
  <c r="U99" i="52"/>
  <c r="M99" i="52"/>
  <c r="F99" i="52"/>
  <c r="R99" i="52" s="1"/>
  <c r="W98" i="52"/>
  <c r="V98" i="52"/>
  <c r="U98" i="52"/>
  <c r="T98" i="52"/>
  <c r="P98" i="52"/>
  <c r="M98" i="52"/>
  <c r="F98" i="52"/>
  <c r="Q98" i="52" s="1"/>
  <c r="W97" i="52"/>
  <c r="V97" i="52"/>
  <c r="U97" i="52"/>
  <c r="T97" i="52"/>
  <c r="P97" i="52"/>
  <c r="M97" i="52"/>
  <c r="R97" i="52"/>
  <c r="W96" i="52"/>
  <c r="V96" i="52"/>
  <c r="U96" i="52"/>
  <c r="T96" i="52"/>
  <c r="R96" i="52"/>
  <c r="Q96" i="52"/>
  <c r="P96" i="52"/>
  <c r="M96" i="52"/>
  <c r="W95" i="52"/>
  <c r="V95" i="52"/>
  <c r="U95" i="52"/>
  <c r="T95" i="52"/>
  <c r="R95" i="52"/>
  <c r="Q95" i="52"/>
  <c r="P95" i="52"/>
  <c r="M95" i="52"/>
  <c r="W94" i="52"/>
  <c r="V94" i="52"/>
  <c r="U94" i="52"/>
  <c r="T94" i="52"/>
  <c r="R94" i="52"/>
  <c r="Q94" i="52"/>
  <c r="P94" i="52"/>
  <c r="M94" i="52"/>
  <c r="W93" i="52"/>
  <c r="V93" i="52"/>
  <c r="U93" i="52"/>
  <c r="T93" i="52"/>
  <c r="R93" i="52"/>
  <c r="Q93" i="52"/>
  <c r="P93" i="52"/>
  <c r="W92" i="52"/>
  <c r="V92" i="52"/>
  <c r="U92" i="52"/>
  <c r="T92" i="52"/>
  <c r="R92" i="52"/>
  <c r="Q92" i="52"/>
  <c r="P92" i="52"/>
  <c r="W91" i="52"/>
  <c r="V91" i="52"/>
  <c r="U91" i="52"/>
  <c r="T91" i="52"/>
  <c r="R91" i="52"/>
  <c r="Q91" i="52"/>
  <c r="P91" i="52"/>
  <c r="M91" i="52"/>
  <c r="W90" i="52"/>
  <c r="V90" i="52"/>
  <c r="U90" i="52"/>
  <c r="T90" i="52"/>
  <c r="P90" i="52"/>
  <c r="M90" i="52"/>
  <c r="F90" i="52"/>
  <c r="R90" i="52" s="1"/>
  <c r="W89" i="52"/>
  <c r="V89" i="52"/>
  <c r="U89" i="52"/>
  <c r="T89" i="52"/>
  <c r="R89" i="52"/>
  <c r="Q89" i="52"/>
  <c r="P89" i="52"/>
  <c r="M89" i="52"/>
  <c r="W88" i="52"/>
  <c r="V88" i="52"/>
  <c r="U88" i="52"/>
  <c r="T88" i="52"/>
  <c r="P88" i="52"/>
  <c r="M88" i="52"/>
  <c r="F88" i="52"/>
  <c r="R88" i="52" s="1"/>
  <c r="W87" i="52"/>
  <c r="V87" i="52"/>
  <c r="U87" i="52"/>
  <c r="T87" i="52"/>
  <c r="P87" i="52"/>
  <c r="M87" i="52"/>
  <c r="F87" i="52"/>
  <c r="Q87" i="52" s="1"/>
  <c r="W86" i="52"/>
  <c r="V86" i="52"/>
  <c r="U86" i="52"/>
  <c r="T86" i="52"/>
  <c r="P86" i="52"/>
  <c r="M86" i="52"/>
  <c r="F86" i="52"/>
  <c r="R86" i="52" s="1"/>
  <c r="W85" i="52"/>
  <c r="V85" i="52"/>
  <c r="U85" i="52"/>
  <c r="T85" i="52"/>
  <c r="P85" i="52"/>
  <c r="M85" i="52"/>
  <c r="F85" i="52"/>
  <c r="Q85" i="52" s="1"/>
  <c r="W84" i="52"/>
  <c r="V84" i="52"/>
  <c r="U84" i="52"/>
  <c r="T84" i="52"/>
  <c r="P84" i="52"/>
  <c r="M84" i="52"/>
  <c r="F84" i="52"/>
  <c r="R84" i="52" s="1"/>
  <c r="W83" i="52"/>
  <c r="V83" i="52"/>
  <c r="U83" i="52"/>
  <c r="T83" i="52"/>
  <c r="R83" i="52"/>
  <c r="Q83" i="52"/>
  <c r="P83" i="52"/>
  <c r="M83" i="52"/>
  <c r="W82" i="52"/>
  <c r="V82" i="52"/>
  <c r="U82" i="52"/>
  <c r="T82" i="52"/>
  <c r="P82" i="52"/>
  <c r="M82" i="52"/>
  <c r="F82" i="52"/>
  <c r="R82" i="52" s="1"/>
  <c r="W81" i="52"/>
  <c r="V81" i="52"/>
  <c r="U81" i="52"/>
  <c r="T81" i="52"/>
  <c r="P81" i="52"/>
  <c r="M81" i="52"/>
  <c r="F81" i="52"/>
  <c r="R81" i="52" s="1"/>
  <c r="W80" i="52"/>
  <c r="V80" i="52"/>
  <c r="U80" i="52"/>
  <c r="T80" i="52"/>
  <c r="R80" i="52"/>
  <c r="Q80" i="52"/>
  <c r="P80" i="52"/>
  <c r="M80" i="52"/>
  <c r="W79" i="52"/>
  <c r="V79" i="52"/>
  <c r="U79" i="52"/>
  <c r="T79" i="52"/>
  <c r="P79" i="52"/>
  <c r="M79" i="52"/>
  <c r="F79" i="52"/>
  <c r="R79" i="52" s="1"/>
  <c r="W78" i="52"/>
  <c r="V78" i="52"/>
  <c r="U78" i="52"/>
  <c r="T78" i="52"/>
  <c r="P78" i="52"/>
  <c r="M78" i="52"/>
  <c r="F78" i="52"/>
  <c r="R78" i="52" s="1"/>
  <c r="W77" i="52"/>
  <c r="V77" i="52"/>
  <c r="U77" i="52"/>
  <c r="T77" i="52"/>
  <c r="R77" i="52"/>
  <c r="Q77" i="52"/>
  <c r="P77" i="52"/>
  <c r="M77" i="52"/>
  <c r="W76" i="52"/>
  <c r="V76" i="52"/>
  <c r="U76" i="52"/>
  <c r="T76" i="52"/>
  <c r="P76" i="52"/>
  <c r="M76" i="52"/>
  <c r="F76" i="52"/>
  <c r="Q76" i="52" s="1"/>
  <c r="W75" i="52"/>
  <c r="V75" i="52"/>
  <c r="U75" i="52"/>
  <c r="T75" i="52"/>
  <c r="P75" i="52"/>
  <c r="M75" i="52"/>
  <c r="F75" i="52"/>
  <c r="R75" i="52" s="1"/>
  <c r="W74" i="52"/>
  <c r="V74" i="52"/>
  <c r="U74" i="52"/>
  <c r="T74" i="52"/>
  <c r="R74" i="52"/>
  <c r="Q74" i="52"/>
  <c r="P74" i="52"/>
  <c r="M74" i="52"/>
  <c r="W73" i="52"/>
  <c r="V73" i="52"/>
  <c r="U73" i="52"/>
  <c r="T73" i="52"/>
  <c r="P73" i="52"/>
  <c r="M73" i="52"/>
  <c r="F73" i="52"/>
  <c r="R73" i="52" s="1"/>
  <c r="W72" i="52"/>
  <c r="V72" i="52"/>
  <c r="U72" i="52"/>
  <c r="T72" i="52"/>
  <c r="R72" i="52"/>
  <c r="Q72" i="52"/>
  <c r="P72" i="52"/>
  <c r="M72" i="52"/>
  <c r="W71" i="52"/>
  <c r="V71" i="52"/>
  <c r="U71" i="52"/>
  <c r="T71" i="52"/>
  <c r="P71" i="52"/>
  <c r="M71" i="52"/>
  <c r="F71" i="52"/>
  <c r="R71" i="52" s="1"/>
  <c r="W70" i="52"/>
  <c r="V70" i="52"/>
  <c r="U70" i="52"/>
  <c r="T70" i="52"/>
  <c r="P70" i="52"/>
  <c r="M70" i="52"/>
  <c r="F70" i="52"/>
  <c r="R70" i="52" s="1"/>
  <c r="W69" i="52"/>
  <c r="V69" i="52"/>
  <c r="U69" i="52"/>
  <c r="T69" i="52"/>
  <c r="R69" i="52"/>
  <c r="Q69" i="52"/>
  <c r="P69" i="52"/>
  <c r="M69" i="52"/>
  <c r="W68" i="52"/>
  <c r="V68" i="52"/>
  <c r="U68" i="52"/>
  <c r="T68" i="52"/>
  <c r="R68" i="52"/>
  <c r="Q68" i="52"/>
  <c r="P68" i="52"/>
  <c r="M68" i="52"/>
  <c r="W67" i="52"/>
  <c r="V67" i="52"/>
  <c r="U67" i="52"/>
  <c r="T67" i="52"/>
  <c r="P67" i="52"/>
  <c r="M67" i="52"/>
  <c r="F67" i="52"/>
  <c r="Q67" i="52" s="1"/>
  <c r="W66" i="52"/>
  <c r="V66" i="52"/>
  <c r="U66" i="52"/>
  <c r="T66" i="52"/>
  <c r="R66" i="52"/>
  <c r="Q66" i="52"/>
  <c r="P66" i="52"/>
  <c r="M66" i="52"/>
  <c r="W65" i="52"/>
  <c r="V65" i="52"/>
  <c r="U65" i="52"/>
  <c r="T65" i="52"/>
  <c r="P65" i="52"/>
  <c r="M65" i="52"/>
  <c r="F65" i="52"/>
  <c r="R65" i="52" s="1"/>
  <c r="W64" i="52"/>
  <c r="V64" i="52"/>
  <c r="U64" i="52"/>
  <c r="T64" i="52"/>
  <c r="P64" i="52"/>
  <c r="M64" i="52"/>
  <c r="R64" i="52"/>
  <c r="W63" i="52"/>
  <c r="V63" i="52"/>
  <c r="U63" i="52"/>
  <c r="T63" i="52"/>
  <c r="P63" i="52"/>
  <c r="M63" i="52"/>
  <c r="F63" i="52"/>
  <c r="R63" i="52" s="1"/>
  <c r="W62" i="52"/>
  <c r="V62" i="52"/>
  <c r="U62" i="52"/>
  <c r="T62" i="52"/>
  <c r="R62" i="52"/>
  <c r="Q62" i="52"/>
  <c r="P62" i="52"/>
  <c r="M62" i="52"/>
  <c r="W61" i="52"/>
  <c r="V61" i="52"/>
  <c r="U61" i="52"/>
  <c r="T61" i="52"/>
  <c r="R61" i="52"/>
  <c r="Q61" i="52"/>
  <c r="P61" i="52"/>
  <c r="M61" i="52"/>
  <c r="W60" i="52"/>
  <c r="V60" i="52"/>
  <c r="U60" i="52"/>
  <c r="T60" i="52"/>
  <c r="R60" i="52"/>
  <c r="Q60" i="52"/>
  <c r="P60" i="52"/>
  <c r="M60" i="52"/>
  <c r="W59" i="52"/>
  <c r="V59" i="52"/>
  <c r="U59" i="52"/>
  <c r="T59" i="52"/>
  <c r="P59" i="52"/>
  <c r="M59" i="52"/>
  <c r="R59" i="52"/>
  <c r="W58" i="52"/>
  <c r="V58" i="52"/>
  <c r="U58" i="52"/>
  <c r="T58" i="52"/>
  <c r="R58" i="52"/>
  <c r="Q58" i="52"/>
  <c r="P58" i="52"/>
  <c r="M58" i="52"/>
  <c r="W57" i="52"/>
  <c r="V57" i="52"/>
  <c r="U57" i="52"/>
  <c r="T57" i="52"/>
  <c r="R57" i="52"/>
  <c r="Q57" i="52"/>
  <c r="P57" i="52"/>
  <c r="W56" i="52"/>
  <c r="V56" i="52"/>
  <c r="U56" i="52"/>
  <c r="T56" i="52"/>
  <c r="R56" i="52"/>
  <c r="Q56" i="52"/>
  <c r="P56" i="52"/>
  <c r="M56" i="52"/>
  <c r="W55" i="52"/>
  <c r="V55" i="52"/>
  <c r="U55" i="52"/>
  <c r="T55" i="52"/>
  <c r="R55" i="52"/>
  <c r="Q55" i="52"/>
  <c r="P55" i="52"/>
  <c r="M55" i="52"/>
  <c r="W54" i="52"/>
  <c r="V54" i="52"/>
  <c r="U54" i="52"/>
  <c r="T54" i="52"/>
  <c r="P54" i="52"/>
  <c r="M54" i="52"/>
  <c r="Q54" i="52"/>
  <c r="W53" i="52"/>
  <c r="V53" i="52"/>
  <c r="U53" i="52"/>
  <c r="T53" i="52"/>
  <c r="R53" i="52"/>
  <c r="Q53" i="52"/>
  <c r="P53" i="52"/>
  <c r="M53" i="52"/>
  <c r="W52" i="52"/>
  <c r="V52" i="52"/>
  <c r="U52" i="52"/>
  <c r="T52" i="52"/>
  <c r="Q52" i="52"/>
  <c r="P52" i="52"/>
  <c r="M52" i="52"/>
  <c r="R52" i="52"/>
  <c r="W51" i="52"/>
  <c r="V51" i="52"/>
  <c r="U51" i="52"/>
  <c r="T51" i="52"/>
  <c r="R51" i="52"/>
  <c r="Q51" i="52"/>
  <c r="P51" i="52"/>
  <c r="M51" i="52"/>
  <c r="W50" i="52"/>
  <c r="V50" i="52"/>
  <c r="U50" i="52"/>
  <c r="T50" i="52"/>
  <c r="R50" i="52"/>
  <c r="Q50" i="52"/>
  <c r="P50" i="52"/>
  <c r="M50" i="52"/>
  <c r="W49" i="52"/>
  <c r="V49" i="52"/>
  <c r="U49" i="52"/>
  <c r="T49" i="52"/>
  <c r="P49" i="52"/>
  <c r="M49" i="52"/>
  <c r="F49" i="52"/>
  <c r="R49" i="52" s="1"/>
  <c r="W48" i="52"/>
  <c r="V48" i="52"/>
  <c r="U48" i="52"/>
  <c r="T48" i="52"/>
  <c r="P48" i="52"/>
  <c r="M48" i="52"/>
  <c r="F48" i="52"/>
  <c r="R48" i="52" s="1"/>
  <c r="W47" i="52"/>
  <c r="V47" i="52"/>
  <c r="U47" i="52"/>
  <c r="T47" i="52"/>
  <c r="R47" i="52"/>
  <c r="Q47" i="52"/>
  <c r="P47" i="52"/>
  <c r="M47" i="52"/>
  <c r="W46" i="52"/>
  <c r="V46" i="52"/>
  <c r="U46" i="52"/>
  <c r="T46" i="52"/>
  <c r="P46" i="52"/>
  <c r="M46" i="52"/>
  <c r="F46" i="52"/>
  <c r="R46" i="52" s="1"/>
  <c r="W45" i="52"/>
  <c r="V45" i="52"/>
  <c r="U45" i="52"/>
  <c r="T45" i="52"/>
  <c r="R45" i="52"/>
  <c r="Q45" i="52"/>
  <c r="P45" i="52"/>
  <c r="M45" i="52"/>
  <c r="W44" i="52"/>
  <c r="V44" i="52"/>
  <c r="U44" i="52"/>
  <c r="T44" i="52"/>
  <c r="P44" i="52"/>
  <c r="M44" i="52"/>
  <c r="R44" i="52"/>
  <c r="W43" i="52"/>
  <c r="V43" i="52"/>
  <c r="U43" i="52"/>
  <c r="T43" i="52"/>
  <c r="P43" i="52"/>
  <c r="M43" i="52"/>
  <c r="R43" i="52"/>
  <c r="W42" i="52"/>
  <c r="V42" i="52"/>
  <c r="U42" i="52"/>
  <c r="T42" i="52"/>
  <c r="P42" i="52"/>
  <c r="M42" i="52"/>
  <c r="R42" i="52"/>
  <c r="W41" i="52"/>
  <c r="V41" i="52"/>
  <c r="U41" i="52"/>
  <c r="T41" i="52"/>
  <c r="P41" i="52"/>
  <c r="M41" i="52"/>
  <c r="Q41" i="52"/>
  <c r="W40" i="52"/>
  <c r="V40" i="52"/>
  <c r="U40" i="52"/>
  <c r="T40" i="52"/>
  <c r="P40" i="52"/>
  <c r="M40" i="52"/>
  <c r="R40" i="52"/>
  <c r="W39" i="52"/>
  <c r="V39" i="52"/>
  <c r="U39" i="52"/>
  <c r="T39" i="52"/>
  <c r="R39" i="52"/>
  <c r="Q39" i="52"/>
  <c r="P39" i="52"/>
  <c r="M39" i="52"/>
  <c r="W38" i="52"/>
  <c r="V38" i="52"/>
  <c r="U38" i="52"/>
  <c r="T38" i="52"/>
  <c r="P38" i="52"/>
  <c r="M38" i="52"/>
  <c r="R38" i="52"/>
  <c r="E38" i="52"/>
  <c r="W37" i="52"/>
  <c r="V37" i="52"/>
  <c r="U37" i="52"/>
  <c r="T37" i="52"/>
  <c r="P37" i="52"/>
  <c r="M37" i="52"/>
  <c r="F37" i="52"/>
  <c r="R37" i="52" s="1"/>
  <c r="W36" i="52"/>
  <c r="V36" i="52"/>
  <c r="U36" i="52"/>
  <c r="T36" i="52"/>
  <c r="P36" i="52"/>
  <c r="M36" i="52"/>
  <c r="F36" i="52"/>
  <c r="R36" i="52" s="1"/>
  <c r="W35" i="52"/>
  <c r="V35" i="52"/>
  <c r="U35" i="52"/>
  <c r="T35" i="52"/>
  <c r="R35" i="52"/>
  <c r="Q35" i="52"/>
  <c r="P35" i="52"/>
  <c r="M35" i="52"/>
  <c r="W34" i="52"/>
  <c r="V34" i="52"/>
  <c r="U34" i="52"/>
  <c r="T34" i="52"/>
  <c r="R34" i="52"/>
  <c r="Q34" i="52"/>
  <c r="P34" i="52"/>
  <c r="M34" i="52"/>
  <c r="W33" i="52"/>
  <c r="V33" i="52"/>
  <c r="U33" i="52"/>
  <c r="T33" i="52"/>
  <c r="R33" i="52"/>
  <c r="Q33" i="52"/>
  <c r="P33" i="52"/>
  <c r="M33" i="52"/>
  <c r="W32" i="52"/>
  <c r="V32" i="52"/>
  <c r="U32" i="52"/>
  <c r="T32" i="52"/>
  <c r="P32" i="52"/>
  <c r="M32" i="52"/>
  <c r="F32" i="52"/>
  <c r="R32" i="52" s="1"/>
  <c r="W31" i="52"/>
  <c r="V31" i="52"/>
  <c r="U31" i="52"/>
  <c r="T31" i="52"/>
  <c r="P31" i="52"/>
  <c r="M31" i="52"/>
  <c r="R31" i="52"/>
  <c r="W30" i="52"/>
  <c r="V30" i="52"/>
  <c r="U30" i="52"/>
  <c r="T30" i="52"/>
  <c r="P30" i="52"/>
  <c r="M30" i="52"/>
  <c r="F30" i="52"/>
  <c r="R30" i="52" s="1"/>
  <c r="W29" i="52"/>
  <c r="V29" i="52"/>
  <c r="U29" i="52"/>
  <c r="T29" i="52"/>
  <c r="P29" i="52"/>
  <c r="M29" i="52"/>
  <c r="R29" i="52"/>
  <c r="W28" i="52"/>
  <c r="V28" i="52"/>
  <c r="U28" i="52"/>
  <c r="T28" i="52"/>
  <c r="P28" i="52"/>
  <c r="M28" i="52"/>
  <c r="R28" i="52"/>
  <c r="W27" i="52"/>
  <c r="V27" i="52"/>
  <c r="U27" i="52"/>
  <c r="T27" i="52"/>
  <c r="P27" i="52"/>
  <c r="M27" i="52"/>
  <c r="F27" i="52"/>
  <c r="R27" i="52" s="1"/>
  <c r="W26" i="52"/>
  <c r="V26" i="52"/>
  <c r="U26" i="52"/>
  <c r="T26" i="52"/>
  <c r="P26" i="52"/>
  <c r="M26" i="52"/>
  <c r="Q26" i="52"/>
  <c r="W25" i="52"/>
  <c r="V25" i="52"/>
  <c r="U25" i="52"/>
  <c r="T25" i="52"/>
  <c r="P25" i="52"/>
  <c r="M25" i="52"/>
  <c r="F25" i="52"/>
  <c r="R25" i="52" s="1"/>
  <c r="W24" i="52"/>
  <c r="V24" i="52"/>
  <c r="U24" i="52"/>
  <c r="T24" i="52"/>
  <c r="Q24" i="52"/>
  <c r="P24" i="52"/>
  <c r="M24" i="52"/>
  <c r="R24" i="52"/>
  <c r="W23" i="52"/>
  <c r="V23" i="52"/>
  <c r="U23" i="52"/>
  <c r="T23" i="52"/>
  <c r="P23" i="52"/>
  <c r="M23" i="52"/>
  <c r="F23" i="52"/>
  <c r="R23" i="52" s="1"/>
  <c r="W22" i="52"/>
  <c r="V22" i="52"/>
  <c r="U22" i="52"/>
  <c r="T22" i="52"/>
  <c r="P22" i="52"/>
  <c r="M22" i="52"/>
  <c r="R22" i="52"/>
  <c r="W21" i="52"/>
  <c r="V21" i="52"/>
  <c r="U21" i="52"/>
  <c r="T21" i="52"/>
  <c r="P21" i="52"/>
  <c r="M21" i="52"/>
  <c r="R21" i="52"/>
  <c r="W20" i="52"/>
  <c r="V20" i="52"/>
  <c r="U20" i="52"/>
  <c r="T20" i="52"/>
  <c r="P20" i="52"/>
  <c r="M20" i="52"/>
  <c r="F20" i="52"/>
  <c r="R20" i="52" s="1"/>
  <c r="W19" i="52"/>
  <c r="V19" i="52"/>
  <c r="U19" i="52"/>
  <c r="T19" i="52"/>
  <c r="P19" i="52"/>
  <c r="R19" i="52"/>
  <c r="W18" i="52"/>
  <c r="V18" i="52"/>
  <c r="U18" i="52"/>
  <c r="T18" i="52"/>
  <c r="Q18" i="52"/>
  <c r="P18" i="52"/>
  <c r="R18" i="52"/>
  <c r="W17" i="52"/>
  <c r="V17" i="52"/>
  <c r="U17" i="52"/>
  <c r="T17" i="52"/>
  <c r="R17" i="52"/>
  <c r="Q17" i="52"/>
  <c r="P17" i="52"/>
  <c r="M17" i="52"/>
  <c r="W16" i="52"/>
  <c r="V16" i="52"/>
  <c r="U16" i="52"/>
  <c r="T16" i="52"/>
  <c r="P16" i="52"/>
  <c r="M16" i="52"/>
  <c r="F16" i="52"/>
  <c r="R16" i="52" s="1"/>
  <c r="W15" i="52"/>
  <c r="V15" i="52"/>
  <c r="U15" i="52"/>
  <c r="T15" i="52"/>
  <c r="R15" i="52"/>
  <c r="Q15" i="52"/>
  <c r="P15" i="52"/>
  <c r="M15" i="52"/>
  <c r="W14" i="52"/>
  <c r="V14" i="52"/>
  <c r="U14" i="52"/>
  <c r="T14" i="52"/>
  <c r="P14" i="52"/>
  <c r="M14" i="52"/>
  <c r="R14" i="52"/>
  <c r="W13" i="52"/>
  <c r="V13" i="52"/>
  <c r="U13" i="52"/>
  <c r="T13" i="52"/>
  <c r="P13" i="52"/>
  <c r="M13" i="52"/>
  <c r="Q13" i="52"/>
  <c r="W12" i="52"/>
  <c r="V12" i="52"/>
  <c r="U12" i="52"/>
  <c r="T12" i="52"/>
  <c r="P12" i="52"/>
  <c r="M12" i="52"/>
  <c r="R12" i="52"/>
  <c r="W11" i="52"/>
  <c r="V11" i="52"/>
  <c r="U11" i="52"/>
  <c r="T11" i="52"/>
  <c r="P11" i="52"/>
  <c r="M11" i="52"/>
  <c r="Q11" i="52"/>
  <c r="W10" i="52"/>
  <c r="V10" i="52"/>
  <c r="U10" i="52"/>
  <c r="T10" i="52"/>
  <c r="R10" i="52"/>
  <c r="Q10" i="52"/>
  <c r="P10" i="52"/>
  <c r="M10" i="52"/>
  <c r="W9" i="52"/>
  <c r="V9" i="52"/>
  <c r="U9" i="52"/>
  <c r="T9" i="52"/>
  <c r="R9" i="52"/>
  <c r="Q9" i="52"/>
  <c r="P9" i="52"/>
  <c r="M9" i="52"/>
  <c r="W8" i="52"/>
  <c r="V8" i="52"/>
  <c r="U8" i="52"/>
  <c r="T8" i="52"/>
  <c r="P8" i="52"/>
  <c r="M8" i="52"/>
  <c r="R8" i="52"/>
  <c r="W7" i="52"/>
  <c r="V7" i="52"/>
  <c r="U7" i="52"/>
  <c r="T7" i="52"/>
  <c r="P7" i="52"/>
  <c r="M7" i="52"/>
  <c r="R7" i="52"/>
  <c r="Q615" i="52" l="1"/>
  <c r="F866" i="52"/>
  <c r="G866" i="52"/>
  <c r="R198" i="52"/>
  <c r="R98" i="52"/>
  <c r="R206" i="52"/>
  <c r="Q20" i="52"/>
  <c r="Q463" i="52"/>
  <c r="Q282" i="52"/>
  <c r="R549" i="52"/>
  <c r="Q549" i="52"/>
  <c r="R678" i="52"/>
  <c r="Q79" i="52"/>
  <c r="Q196" i="52"/>
  <c r="R817" i="52"/>
  <c r="R117" i="52"/>
  <c r="Q48" i="52"/>
  <c r="R236" i="52"/>
  <c r="Q242" i="52"/>
  <c r="R586" i="52"/>
  <c r="R379" i="52"/>
  <c r="R26" i="52"/>
  <c r="Q269" i="52"/>
  <c r="Q293" i="52"/>
  <c r="Q588" i="52"/>
  <c r="R591" i="52"/>
  <c r="R85" i="52"/>
  <c r="Q248" i="52"/>
  <c r="Q819" i="52"/>
  <c r="R41" i="52"/>
  <c r="R802" i="52"/>
  <c r="R863" i="52"/>
  <c r="R76" i="52"/>
  <c r="R87" i="52"/>
  <c r="Q155" i="52"/>
  <c r="R273" i="52"/>
  <c r="Q32" i="52"/>
  <c r="R618" i="52"/>
  <c r="Q832" i="52"/>
  <c r="R615" i="52"/>
  <c r="Q675" i="52"/>
  <c r="R815" i="52"/>
  <c r="Q606" i="52"/>
  <c r="Q659" i="52"/>
  <c r="Q824" i="52"/>
  <c r="R858" i="52"/>
  <c r="R67" i="52"/>
  <c r="Q70" i="52"/>
  <c r="R368" i="52"/>
  <c r="Q677" i="52"/>
  <c r="Q287" i="52"/>
  <c r="R357" i="52"/>
  <c r="Q660" i="52"/>
  <c r="R276" i="52"/>
  <c r="Q278" i="52"/>
  <c r="Q30" i="52"/>
  <c r="Q572" i="52"/>
  <c r="Q636" i="52"/>
  <c r="R217" i="52"/>
  <c r="Q343" i="52"/>
  <c r="Q371" i="52"/>
  <c r="Q394" i="52"/>
  <c r="Q261" i="52"/>
  <c r="R297" i="52"/>
  <c r="R862" i="52"/>
  <c r="Q65" i="52"/>
  <c r="R354" i="52"/>
  <c r="R527" i="52"/>
  <c r="Q203" i="52"/>
  <c r="R342" i="52"/>
  <c r="Q63" i="52"/>
  <c r="Q88" i="52"/>
  <c r="Q102" i="52"/>
  <c r="Q216" i="52"/>
  <c r="R302" i="52"/>
  <c r="Q326" i="52"/>
  <c r="Q517" i="52"/>
  <c r="R532" i="52"/>
  <c r="Q535" i="52"/>
  <c r="Q581" i="52"/>
  <c r="Q648" i="52"/>
  <c r="R11" i="52"/>
  <c r="Q14" i="52"/>
  <c r="Q38" i="52"/>
  <c r="R54" i="52"/>
  <c r="Q75" i="52"/>
  <c r="Q107" i="52"/>
  <c r="Q125" i="52"/>
  <c r="Q270" i="52"/>
  <c r="E279" i="52"/>
  <c r="Q279" i="52" s="1"/>
  <c r="Q330" i="52"/>
  <c r="Q396" i="52"/>
  <c r="R529" i="52"/>
  <c r="Q642" i="52"/>
  <c r="Q81" i="52"/>
  <c r="Q84" i="52"/>
  <c r="Q381" i="52"/>
  <c r="Q620" i="52"/>
  <c r="Q292" i="52"/>
  <c r="Q299" i="52"/>
  <c r="R513" i="52"/>
  <c r="Q650" i="52"/>
  <c r="Q833" i="52"/>
  <c r="Q7" i="52"/>
  <c r="R13" i="52"/>
  <c r="Q90" i="52"/>
  <c r="Q103" i="52"/>
  <c r="R389" i="52"/>
  <c r="Q392" i="52"/>
  <c r="Q408" i="52"/>
  <c r="R537" i="52"/>
  <c r="Q625" i="52"/>
  <c r="Q16" i="52"/>
  <c r="Q210" i="52"/>
  <c r="Q272" i="52"/>
  <c r="Q275" i="52"/>
  <c r="Q630" i="52"/>
  <c r="Q22" i="52"/>
  <c r="Q28" i="52"/>
  <c r="Q37" i="52"/>
  <c r="Q43" i="52"/>
  <c r="Q46" i="52"/>
  <c r="Q86" i="52"/>
  <c r="Q200" i="52"/>
  <c r="Q281" i="52"/>
  <c r="Q311" i="52"/>
  <c r="Q355" i="52"/>
  <c r="Q370" i="52"/>
  <c r="Q632" i="52"/>
  <c r="Q12" i="52"/>
  <c r="Q640" i="52"/>
  <c r="Q198" i="52"/>
  <c r="Q100" i="52"/>
  <c r="Q439" i="52"/>
  <c r="Q455" i="52"/>
  <c r="Q457" i="52"/>
  <c r="Q459" i="52"/>
  <c r="Q461" i="52"/>
  <c r="Q470" i="52"/>
  <c r="Q472" i="52"/>
  <c r="Q474" i="52"/>
  <c r="Q476" i="52"/>
  <c r="Q478" i="52"/>
  <c r="Q480" i="52"/>
  <c r="Q482" i="52"/>
  <c r="Q484" i="52"/>
  <c r="Q288" i="52"/>
  <c r="Q300" i="52"/>
  <c r="Q345" i="52"/>
  <c r="Q358" i="52"/>
  <c r="Q430" i="52"/>
  <c r="Q19" i="52"/>
  <c r="Q23" i="52"/>
  <c r="Q27" i="52"/>
  <c r="Q31" i="52"/>
  <c r="Q42" i="52"/>
  <c r="Q73" i="52"/>
  <c r="Q218" i="52"/>
  <c r="Q260" i="52"/>
  <c r="Q274" i="52"/>
  <c r="Q321" i="52"/>
  <c r="Q364" i="52"/>
  <c r="Q393" i="52"/>
  <c r="Q397" i="52"/>
  <c r="Q526" i="52"/>
  <c r="Q587" i="52"/>
  <c r="Q607" i="52"/>
  <c r="Q616" i="52"/>
  <c r="Q623" i="52"/>
  <c r="Q629" i="52"/>
  <c r="Q635" i="52"/>
  <c r="Q638" i="52"/>
  <c r="Q651" i="52"/>
  <c r="Q814" i="52"/>
  <c r="Q818" i="52"/>
  <c r="Q823" i="52"/>
  <c r="Q8" i="52"/>
  <c r="Q49" i="52"/>
  <c r="Q59" i="52"/>
  <c r="Q97" i="52"/>
  <c r="Q209" i="52"/>
  <c r="Q230" i="52"/>
  <c r="Q243" i="52"/>
  <c r="Q280" i="52"/>
  <c r="Q317" i="52"/>
  <c r="Q353" i="52"/>
  <c r="Q360" i="52"/>
  <c r="Q383" i="52"/>
  <c r="Q426" i="52"/>
  <c r="Q548" i="52"/>
  <c r="Q560" i="52"/>
  <c r="Q654" i="52"/>
  <c r="Q669" i="52"/>
  <c r="Q774" i="52"/>
  <c r="Q804" i="52"/>
  <c r="Q438" i="52"/>
  <c r="Q440" i="52"/>
  <c r="Q454" i="52"/>
  <c r="Q456" i="52"/>
  <c r="Q458" i="52"/>
  <c r="Q460" i="52"/>
  <c r="Q469" i="52"/>
  <c r="Q471" i="52"/>
  <c r="Q473" i="52"/>
  <c r="Q475" i="52"/>
  <c r="Q477" i="52"/>
  <c r="Q479" i="52"/>
  <c r="Q481" i="52"/>
  <c r="Q483" i="52"/>
  <c r="Q485" i="52"/>
  <c r="Q571" i="52"/>
  <c r="Q335" i="52"/>
  <c r="Q348" i="52"/>
  <c r="Q21" i="52"/>
  <c r="Q25" i="52"/>
  <c r="Q29" i="52"/>
  <c r="Q36" i="52"/>
  <c r="Q40" i="52"/>
  <c r="Q44" i="52"/>
  <c r="Q82" i="52"/>
  <c r="Q99" i="52"/>
  <c r="Q182" i="52"/>
  <c r="Q277" i="52"/>
  <c r="Q283" i="52"/>
  <c r="Q359" i="52"/>
  <c r="Q395" i="52"/>
  <c r="Q409" i="52"/>
  <c r="Q649" i="52"/>
  <c r="Q653" i="52"/>
  <c r="Q816" i="52"/>
  <c r="Q820" i="52"/>
  <c r="Q64" i="52"/>
  <c r="Q71" i="52"/>
  <c r="Q78" i="52"/>
  <c r="Q124" i="52"/>
  <c r="Q312" i="52"/>
  <c r="Q365" i="52"/>
  <c r="Q427" i="52"/>
  <c r="Q450" i="52"/>
  <c r="Q592" i="52"/>
  <c r="Q621" i="52"/>
  <c r="Q633" i="52"/>
  <c r="Q668" i="52"/>
  <c r="Q670" i="52"/>
  <c r="Q809" i="52"/>
  <c r="Q8" i="50" l="1"/>
  <c r="P8" i="50"/>
  <c r="F9" i="50"/>
  <c r="D9" i="50"/>
  <c r="E9" i="50"/>
</calcChain>
</file>

<file path=xl/sharedStrings.xml><?xml version="1.0" encoding="utf-8"?>
<sst xmlns="http://schemas.openxmlformats.org/spreadsheetml/2006/main" count="8689" uniqueCount="1069">
  <si>
    <t>PLAN ANUAL DE ADQUISICIONES 2024</t>
  </si>
  <si>
    <t>A. INFORMACIÓN GENERAL DE LA ENTIDAD</t>
  </si>
  <si>
    <t>Nombre</t>
  </si>
  <si>
    <t>NACION - MINISTERIO DEL INTERIOR</t>
  </si>
  <si>
    <t>Dirección</t>
  </si>
  <si>
    <t>Bogotá, D.C. - Colombia - Sur América, Sede Principal La Giralda:
Carrera 8 No. 7 - 83</t>
  </si>
  <si>
    <t>Teléfono</t>
  </si>
  <si>
    <t>PBX : (57) 1 242 74 00</t>
  </si>
  <si>
    <t>Página web</t>
  </si>
  <si>
    <t>https://www.mininterior.gov.co/</t>
  </si>
  <si>
    <t>Misión y visión</t>
  </si>
  <si>
    <t>MISIÓN: Liderar la formulación, implementación y evaluación de políticas públicas orientadas a garantizar la gestión política del Gobierno, la protección, el goce efectivo de los derechos y las libertades de los ciudadanos, fortaleciendo el diálogo social e intercultural Estado – Comunidades, la democracia, la participación, la seguridad y la convivencia ciudadana, promoviendo así el desarrollo y la equidad de los grupos étnicos, minorías y poblaciones vulnerables en el marco de la legalidad, el emprendimiento y la equidad. VISIÓN: Ser un Ministerio articulador e innovador en la gestión política del Gobierno y la implementación oportuna y eficiente de políticas públicas que impacten el desarrollo y la equidad de los grupos étnicos, minorías y poblaciones vulnerables, en materia de derechos humanos, democracia, participación, seguridad y convivencia ciudadana.</t>
  </si>
  <si>
    <t>Perspectiva estratégica</t>
  </si>
  <si>
    <t>Planificar las necesidades de bienes, servicios u obras que requiere contratar el Ministerio o los Fondos a su cargo, para cumplir sus funciones y objetivos, de acuerdo con las apropiaciones presupuestales para cada vigencia fiscal, independientemente del rubro presupuestal que se afecte, diseñar las estrategias y actividades propias de la contratación, para que con fundamento en la agregación de demanda, propender por la eficacia en los procesos de contratación.</t>
  </si>
  <si>
    <t>Información de contacto</t>
  </si>
  <si>
    <t>servicioalciudadano@mininterior.gov.co</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</si>
  <si>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</si>
  <si>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Límite de contratación mínima cuantía</t>
  </si>
  <si>
    <t>Hasta $ 110,500,00</t>
  </si>
  <si>
    <t>Límite de contratación menor cuantía</t>
  </si>
  <si>
    <t>Hasta: $1,105,000,000</t>
  </si>
  <si>
    <t>Fecha de última actualización del PAA</t>
  </si>
  <si>
    <t>FIJO</t>
  </si>
  <si>
    <t>AREA</t>
  </si>
  <si>
    <t>No.</t>
  </si>
  <si>
    <t>Iniciativa Plan de Acción</t>
  </si>
  <si>
    <t>Rubro presupuestal</t>
  </si>
  <si>
    <t xml:space="preserve">Apropiación </t>
  </si>
  <si>
    <t>CódigoUNSPSC(cadacódigoseparadopor;)</t>
  </si>
  <si>
    <t>Descripción</t>
  </si>
  <si>
    <t>Fecha estimada de inicio de proceso de selección (mes)</t>
  </si>
  <si>
    <t>Fecha estimada de presentación de ofertas (mes)</t>
  </si>
  <si>
    <t>Duración estimada del contrato (número)</t>
  </si>
  <si>
    <t>Duración estimada del contrato (intervalo: días, meses, años)</t>
  </si>
  <si>
    <t xml:space="preserve">Còdigo modalidad de selección </t>
  </si>
  <si>
    <t xml:space="preserve">Modalidad de selección </t>
  </si>
  <si>
    <t>Fuente de los recursos</t>
  </si>
  <si>
    <t>Valor total estimado</t>
  </si>
  <si>
    <t>Valor estimado en la vigencia actual</t>
  </si>
  <si>
    <t>¿Se requieren vigencias futuras?</t>
  </si>
  <si>
    <t>Estado de solicitud de vigencias futuras</t>
  </si>
  <si>
    <t>Unidad de contratación (referencia)</t>
  </si>
  <si>
    <t>Código Ubicación</t>
  </si>
  <si>
    <t>Ubicación</t>
  </si>
  <si>
    <t xml:space="preserve">Nombre del responsable </t>
  </si>
  <si>
    <t xml:space="preserve">Teléfono del responsable </t>
  </si>
  <si>
    <t xml:space="preserve">Correo electrónico del responsable </t>
  </si>
  <si>
    <t>Cupo de VF aprobadas 2023, comprometidas 2023</t>
  </si>
  <si>
    <t>Vigencia 2024</t>
  </si>
  <si>
    <t>Cupo de VF aprobadas 2024, por comprometer 2025</t>
  </si>
  <si>
    <t>CP</t>
  </si>
  <si>
    <t xml:space="preserve">Implementar los instrumentos jurídicos, requeridos para garantizar el derecho a la consulta previa alineado a los fundamentos del plan nacional de desarrollo. </t>
  </si>
  <si>
    <t>A-03-03-01-034</t>
  </si>
  <si>
    <t>CP-Contratación de Servicios Profesionales, Asistenciales y Técnicos como apoyo a la gestión del Ministerio del Interior.</t>
  </si>
  <si>
    <t>CCE-16</t>
  </si>
  <si>
    <t>Contratación directa.</t>
  </si>
  <si>
    <t>0</t>
  </si>
  <si>
    <t xml:space="preserve">Álvaro Echeverry </t>
  </si>
  <si>
    <t>alvaro.echeverry@mininterior.gov.co</t>
  </si>
  <si>
    <t>78111502;90121502</t>
  </si>
  <si>
    <t>CP Suministrar el transporte aéreo en vuelos Nacionales e Internacionales para los funcionarios, contratistas del Ministerio del Interior y funcionarios de la Policía Nacional que prestan sus servicios de protección y seguridad en el Ministerio del Interior.</t>
  </si>
  <si>
    <t>CCE-11||01</t>
  </si>
  <si>
    <t>Contratación régimen especial - Selección de comisionista</t>
  </si>
  <si>
    <t>CP-Contratar la elaboración del documento metodologíco para la construcción de insumos técnicos para la conceptualización y el desarrollo de metodologías y procedimientos relacionadas con el establecimiento de los términos de referencia del proceso de consulta previa</t>
  </si>
  <si>
    <t>CCE-05</t>
  </si>
  <si>
    <t xml:space="preserve">Contratación directa (con ofertas) </t>
  </si>
  <si>
    <t>Garantizar el derecho a la consulta previa, mediante la construcción colectiva de los procedimientos técnicos requeridos para la determinación de la procedencia y la coordinación y aplicación de dichos procesos.</t>
  </si>
  <si>
    <t>80111623;80141607;80141902;80161502;80161507;81141601;81141604;81141606;90101601;90101603;90101604;90111601;90111602;90111603;90151802;93141701;93141702</t>
  </si>
  <si>
    <t>CP-Prestar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</si>
  <si>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CCE-02</t>
  </si>
  <si>
    <t>Licitación pública</t>
  </si>
  <si>
    <t>78111500;78111503</t>
  </si>
  <si>
    <t xml:space="preserve">CP-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 </t>
  </si>
  <si>
    <t>93141706;93141700;93141702</t>
  </si>
  <si>
    <t>CP-Contratar los servicios técnicos, académicos y administrativos, para adelantar el proceso de concertación social con la comunidad de Rio sucio Caldas</t>
  </si>
  <si>
    <t>CP-Contratar los servicios técnicos y administrativos para la consolidación, finalización, publicación y socialización del protocolo del pueblo barí para el relacionamiento con terceros, la consulta previa y el consentimiento previo, libre e informado “samayna ayu”, en el marco del cumplimiento de la sentencia T-880 de 2006.</t>
  </si>
  <si>
    <t>Diseñar, implementar y evaluar la estrategia de fomento y sensibilización en materia de Consulta Previa.</t>
  </si>
  <si>
    <t>CP-Contratar los servicios para realización de manera independiente y científica de una prueba en la calidad del aire de la comunidad indígena zenú del palmar en el municipio de Tolú, Sucre, en e marco del cumplimiento de la Sentencia T-433</t>
  </si>
  <si>
    <t>86111502; 86132001; 86101705; 86141703; 86141702; 93121701; 93131503; 94131805; 93141706; 93131502; 25101502</t>
  </si>
  <si>
    <t>CP-Aunar esfuerzos técnicos, administrativos, financieros y tecnológicos para el desarrollo e implementación de la estrategia de formación, capacitación, fomento y sensibilización en materia de consulta previa, dirigida a los departamentos con presencia de grupos étnicos y procesos de consulta previa en Colombia, a través de la implementación de aulas y bibliotecas móviles, itinerantes e inteligentes.</t>
  </si>
  <si>
    <t>CP-Contratar los servicios técnicos y adminsitrativos para la ejecución de rutas metodológicas de los procesos de consulta previa con los resguardos y cabildos del Pueblo NASA, departamento del Putumayo, en el marco del cumplimiento de la Sentencia T-300 del 2017 de la Corte Constitucional, el fallo de segunda instancia 11001333501620200037001 del Tribunal de Cundinamarca (Sentencia SU-545 del 2023 de la Corte Constitucional)</t>
  </si>
  <si>
    <t>86111500;86132000;93131503;94131805;93141706</t>
  </si>
  <si>
    <t>CP-Contratar la prestación de servicios técnicos y administrativos para el desarrollo de actividades de capacitación y formación, abarcando los siguientes componentes:
1. Estructuración e implementación de programas de formación y capacitación dirigidos a miembros de comunidades étnicas.
2. Organización y ejecución del Congreso Internacional de Consulta Previa titulado “Desarrollo y Participación de los Pueblos Étnicos”.
3. Diseño y desarrollo participativo del Protocolo de Consulta Previa con el pueblo indígena Wayuu en el departamento de La Guajira.</t>
  </si>
  <si>
    <t>CP-Contratar los servicios técnicos y administrativos para garantizar el proceso de consulta previa con el pueblo indígena wayuu de los municipios de Uribia, Manaure, Maicao y Riohacha del departamento de la Guajira, para la construcción conjunta y participativa del plan de acción estructural ordenado por la Sentencia T-302 de 2017</t>
  </si>
  <si>
    <t>Articular y consolidar la gestión operacional de la Dirección de la Autoridad Nacional de Consulta Previa.</t>
  </si>
  <si>
    <t>43233701;43232701;43232304;43232401;43233004;43233201;43232304;43232404;43231512;81111801;81112202;81112501;81111901;81112001</t>
  </si>
  <si>
    <t>CP-Renovación y adquisición de licenciamiento para la Entidad de acuerdo con las especificaciones técnicas señaladas por el Ministerio del Interior</t>
  </si>
  <si>
    <t>CCE-99</t>
  </si>
  <si>
    <t>Seléccion abreviada - acuerdo marco</t>
  </si>
  <si>
    <t>Carlos Felipe Prada Lombo</t>
  </si>
  <si>
    <t>carlos.prada@mininterior.gov.co</t>
  </si>
  <si>
    <t>43211502;43211503;43211507;43211711</t>
  </si>
  <si>
    <t>CP Adquisición de equipos de cómputo y escáneres para el Ministerio del Interior</t>
  </si>
  <si>
    <t>43231513;43232201;43232312</t>
  </si>
  <si>
    <t>CP-Prestación de servicios de actualización de las licencias del software de la herramienta ArcGIS para el Ministerio del Interior - Dirección Nacional de Consulta Previa -DANCP</t>
  </si>
  <si>
    <t>NO APLICA</t>
  </si>
  <si>
    <t>A-02-01-01-004-005</t>
  </si>
  <si>
    <t>44103100;44103125;44103105</t>
  </si>
  <si>
    <t>CP-Adquisición de consumibles de impresión para el Ministerio del Interior</t>
  </si>
  <si>
    <t>6</t>
  </si>
  <si>
    <t>CCE-10</t>
  </si>
  <si>
    <t>Mínima cuantía</t>
  </si>
  <si>
    <t>A-02-02-01-003-002</t>
  </si>
  <si>
    <t>14111507;43201803;43211706;43211708;44101707;44111506;44111509;44111510;44111515;44111905;44111912;44121503;44121612;44121613;44121618;44121619;44121622;44121626;44121634;44121701;44121706;44121707;44121708;44121716;44121804;44121904;44121905;44122010;44122003;44122011;44122019;44122027;44122101;44122104;44122107</t>
  </si>
  <si>
    <t>CP-Adquisición de los bienes de consumo necesarios para el correcto funcionamiento de las dependencias del Ministerio del Interior para la vigencia 2024</t>
  </si>
  <si>
    <t xml:space="preserve">Minima Cuantia </t>
  </si>
  <si>
    <t>A-02-02-01-003-003</t>
  </si>
  <si>
    <t>15101500;15101505;15101506</t>
  </si>
  <si>
    <t>CP-Suministro de combustible (gasolina corriente, gasolina extra y ACPM/Diésel) para los diferentes vehículos que conforman el parque automotor activo del Ministerio del Interior y los que le sean asignados por necesidades del servicio.</t>
  </si>
  <si>
    <t>A-02-02-02-006-003</t>
  </si>
  <si>
    <t>A-02-02-02-007-001</t>
  </si>
  <si>
    <t>84131500;84131600;84131503;84131506;84131512</t>
  </si>
  <si>
    <t>CP-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</si>
  <si>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CCE-06</t>
  </si>
  <si>
    <t>Selección abreviada menor cuantía</t>
  </si>
  <si>
    <t>A-02-02-02-007-002</t>
  </si>
  <si>
    <t>CP-El ARRENDADOR se compromete a dar en arrendamiento a la Dirección de la Autoridad de Consulta Previa, el bien inmueble localizado en la dirección acordada de la ciudad de Bogotá,  para el funcionamiento de la Dirección de la Autoridad Nacional de Consulta Previa.</t>
  </si>
  <si>
    <t>A-02-02-02-008-003</t>
  </si>
  <si>
    <t>A-02-02-02-008-004</t>
  </si>
  <si>
    <t>43231513;43232201;43232312;43233701</t>
  </si>
  <si>
    <t>CP-Adquisición soporte y mantenimiento plataforma – BPM - Auraquantic en cumplimiento al anexo técnico dispuesto por la entidad.</t>
  </si>
  <si>
    <t>Sandra Patricia Contreras Soto</t>
  </si>
  <si>
    <t>sandra.contreras@mininterior.gov.co</t>
  </si>
  <si>
    <t>A-02-02-02-008-005</t>
  </si>
  <si>
    <t>CP-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</si>
  <si>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CCE-07</t>
  </si>
  <si>
    <t>Selección abreviada subasta inversa</t>
  </si>
  <si>
    <t>76111501;90101700</t>
  </si>
  <si>
    <t>CP-EN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</si>
  <si>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Manuel Guillermo Segura Sierra</t>
  </si>
  <si>
    <t>manuel.segura@mininterior.gov.co</t>
  </si>
  <si>
    <t>81112200;81111508;81112210;43231505</t>
  </si>
  <si>
    <t>CP-Prestar los servicios de mantenimiento y soporte a distancia y bolsa de horas de consultoría del sistema de información de recursos humanos KACTUS-HCM- para el Ministerio del Interior en cumplimiento al anexo técnico dispuesto por la entidad.</t>
  </si>
  <si>
    <t>A-02-02-02-008-007</t>
  </si>
  <si>
    <t>78181600;25171700;25171900;25172000</t>
  </si>
  <si>
    <t>CP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</si>
  <si>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Yury Heltmhur Garcia Torres</t>
  </si>
  <si>
    <t>yury.garcia@mininterior.gov.co</t>
  </si>
  <si>
    <t>A-02-02-02-009-003</t>
  </si>
  <si>
    <t>CP-Realización de Exámenes Médicos Ocupacionales Periódicos, Exámenes Médicos de Ingreso y Exámenes Médicos de Retiro, para los funcionarios del Ministerio del Interior para el año 2024, de acuerdo al profesiograma de la entidad</t>
  </si>
  <si>
    <t>C-3799-1000-01-53106a</t>
  </si>
  <si>
    <t>80111623;80141607;80141902;78111502;78111502;78111802;78111803;78111808;80141607;80161502;80161507;81141601;81141604;81141606;80141902;90101601,90101602;90101603;90101604;90101501;90111501,90111502,90111503;90111504,90111601,90111602,90111603;90121502;90151802;90151803,93141701;93141702;93141706;93141707;93141709;93141710;</t>
  </si>
  <si>
    <t>CP-Contratar los servicios técnicos y administrativos de capacitación y formación en los temas relacionados con el derecho fundamental a la consulta previa y el diseño e implementación de cursos digitales de este derecho constitucional.</t>
  </si>
  <si>
    <t>43201827;43202205;32101602;43201803;55121502;52161512;52161512;43202215;27113203;47121602;32131023;43201554;39121440;42212004</t>
  </si>
  <si>
    <t>CP-Adquisición de equipos tecnológicos, elementos, accesorios y periféricos para el ministerio del interior - Dirección de la Autoridad Nacional de Consulta Previa</t>
  </si>
  <si>
    <t>CP-Contratar la prestación del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</si>
  <si>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CP-Contratar el servicio integral de aseo y cafetería, para las diferentes sedes donde funcionan las dependencias del Ministerio del Interior </t>
  </si>
  <si>
    <t>A-02-02-02-006-008</t>
  </si>
  <si>
    <t>CP-Servicio de admisión, curso y entrega de correspondencia en las modalidades de correo certificado nacional y correo certificado internacional</t>
  </si>
  <si>
    <t>CP-Adquisición de impresora para el Ministerio Del Interior - Dirección Nacional De Consulta Previa -Dancp</t>
  </si>
  <si>
    <t>DACNARP</t>
  </si>
  <si>
    <t xml:space="preserve">Apoyar los procesos de formación, conocimiento, difusión, protección y defensa de los derechos fundamentales, el reconocimiento, salvaguarda de la integridad, diversidad étnica y cultural de los Pueblos y Comunidades Negras, Afrocolombianas, Raizales y Palenqueras. </t>
  </si>
  <si>
    <t>A-03-04-01-012</t>
  </si>
  <si>
    <t>DACNARP Contratación de Servicios Profesionales, Asistenciales y Técnicos como apoyo a la gestión del Ministerio del Interior.</t>
  </si>
  <si>
    <t>Idalmy Minptta Teran</t>
  </si>
  <si>
    <t>idalmy.minotta@mininterior.gov.co</t>
  </si>
  <si>
    <t>DACNARP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</si>
  <si>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60103502;80101602;86101705;86101710;93141602;93141706;94131504;94131805</t>
  </si>
  <si>
    <t>DACNARP Contratar servicios técnicos, administrativos y financieros con el fin de desarrollar las actividades y/o proyectos para la elaboración de los documentos -planes de caracterización- de los territorios colectivos y ancestrales, en el marco de la Sentencias T-025 de 2004 y la Orden 4 del auto 005 de 2019 de la Corte Constitucional;  realizar un  diplomado; así como compilar la legislación que promueve los derechos de las comunidades atendidas por la Dirección de Asuntos para Comunidades Negras, Afrocolombianas, Raizales y Palenqueras del Ministerio del Interior</t>
  </si>
  <si>
    <t>Elsa Nury Lozano Ramos</t>
  </si>
  <si>
    <t>elsa.lozano@mininterior.gov.co</t>
  </si>
  <si>
    <t>DACNARP Suministrar el transporte aéreo en vuelos Nacionales e Internacionales para los funcionarios, contratistas del Ministerio del Interior y funcionarios de la Policía Nacional que prestan sus servicios de protección y seguridad en el Ministerio del Interior.</t>
  </si>
  <si>
    <t>Diana Vitalia Vivas Perez</t>
  </si>
  <si>
    <t>diana.vivas@mininterior.gov.co</t>
  </si>
  <si>
    <t xml:space="preserve">Apoyar el mejoramiento de las capacidades técnicas, jurídicas, para mejorar la gobernabilidad territorial, conocimiento de sus derechos individuales y colectivos; proponer y conceptuar proyectos de ley o decretos que desarrollen los derechos de los Pueblos y Comunidades Negras, Afrocolombianas, Raizales y Palenqueras. </t>
  </si>
  <si>
    <t>A-03-06-01-012</t>
  </si>
  <si>
    <t>Victor Hugo Moreno Mina</t>
  </si>
  <si>
    <t>victor.moreno@mininterior.gov.co</t>
  </si>
  <si>
    <t>10</t>
  </si>
  <si>
    <t>93141706;94131805</t>
  </si>
  <si>
    <t>DACNARP Contratar los servicios técnicos, administrativos y metodológicos con el fin de desarrollar las actividades y/o proyectos orientados a dar cumplimiento al capítulo étnico del acuerdo de paz y a las metas e indicadores establecidos en el Plan Marco de Implementación de este acuerdo.</t>
  </si>
  <si>
    <t>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</si>
  <si>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</si>
  <si>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 xml:space="preserve">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</si>
  <si>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93141706;94131805;93151511</t>
  </si>
  <si>
    <t>DACNARP Contratar servicios tècnicos y metodologicos, con el fin de concertar preacuerdos, acuerdos y protocolización del  Reglamento Interno del Espacio Nacional de Consulta Previa, de Medidas Legislativas y Administrativas, Suceptibles de afectar a  las Comunidades Negras, Afrocolombianas, Raizales y Palenqueras.</t>
  </si>
  <si>
    <t>DACNARP Contratar servicios, técnicos, Administrativos y metodológicos con el fin de adelantar la consulta previa del Estatuto Raizal, para la comunidad del archipiélago de San Andrés, Providencia y Santa Catalina.</t>
  </si>
  <si>
    <t>94131503;94131504;80101600;93141900;94132000;94131805;93141706;93141600</t>
  </si>
  <si>
    <t>DACNARP aunar esfuerzos tècnicos, administrativos y financieos con el fin de desarrollar actividades y / o proyectos orientados a dar cumplimiento a lo relacionado con la implementaciòn de las normas relacionadas con la consuta previa, reglamentación de la ley 70 y la aplicación de  sentencias diferente a la sentencia t 025</t>
  </si>
  <si>
    <t>DACNARP Desarrollar actividades y/o proyectos encaminados a la asistencia tècnica y a la articulaciòn con las diferentes autoridades ambientales para la formaulaciòn de planes de manejo ambiental y agenda ambiental de las Comunidades Negras, Afrocolombianas, Raizales y Palenqueras y el cumplimiento de l sentencia STC 4360 de 2018 deforestaciòn de la amazonìa</t>
  </si>
  <si>
    <t>Adelantar todas Las acciones para el cumplimiento de los compromisos del Plan Nacional de Desarrollo pueblos y comunidades ètnicas</t>
  </si>
  <si>
    <t>C-3701-1000-33</t>
  </si>
  <si>
    <t>80101601;80101602;80101603;80101604</t>
  </si>
  <si>
    <t>DACNARP Prestar los servicios de asistencia tecnica, juridica y financera, ademàs de la administración de los recursos de la puesta en marcha de los proyectos viabilizados con cargo al Banco de Proyectos  de la Dirección de Asuntos para Comunidades Negras, Afrocolombianas, Raizales y Palenqueras del Ministerio del Interior</t>
  </si>
  <si>
    <t xml:space="preserve">DACNARP Contratar la automatización de los procesos relacionados con el registro Público ünico de Comunidades Negras, Afrocolombianas, Raizales y Palenqueras, </t>
  </si>
  <si>
    <t>DACNARP Aunar esfuerzos financieros, tècnicos y administrativos con el fin de Desarrollar actividades para la implementaciòn de acciones tendientes al fortalecimiento de los reglamentos internos y al levantamiento del censo poblacional de los Consejos Comunitarios.</t>
  </si>
  <si>
    <t>93141706;94131805;80101604</t>
  </si>
  <si>
    <t>DACNARP Contratar servicios tècnicos y metodologicos, con el fin de concertar preacuerdos y acuerdos de la propuesta de decreto para la reglamentación Integral de la ley 70 de 1993, con el  Espacio Nacional de Consulta Previa, de Medidas Legislativas y Administrativas, Suceptibles de afectar a  las Comunidades Negras, Afrocolombianas, Raizales y Palenqueras.</t>
  </si>
  <si>
    <t>DACNARP Desarrollar actividades con el fin de dar cumplimiento a lo estipulado en la sentencia T - 622 de 2018</t>
  </si>
  <si>
    <t>DACNARP Brindar servicios técnicos, administrativos y metodógicos, con el fin de adelantar actividades encaminadas al diseño y concertación del protocolo de anàlisis de riesgo individual de las Comunidades Negras; asi como, realizar el levantamiento del censo poblacional de los Consejos Comunitarios.</t>
  </si>
  <si>
    <t>DACNARP Aunar esfuerzos tecnicos administrativos y financieros, con el fin de brindar asistencia tecnica en la estruturacion de la asociatividad territorial entre consejos comunitarios.</t>
  </si>
  <si>
    <t>Planificar y coordinar el desarrollar de Acciones, políticas, planes y programas apoyando la identificación, formulación y gestión de proyectos que beneficien a los Pueblos y Comunidades Negras, Afrocolombianas, Raizales y Palenqueras; implementando procesos de seguimiento y monitoreo.</t>
  </si>
  <si>
    <t>DACNARP Aunar esfuerzos, tècnicos, Administrativos y financieros con el fin de promover proyectos productivos de las Comunidades Negras, en articulaciòn con entidades del nivel central</t>
  </si>
  <si>
    <t>DACNARP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</si>
  <si>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DACNARP Adquisición de los bienes de consumo necesarios para el correcto funcionamiento de las dependencias del Ministerio del Interior para la vigencia 2024</t>
  </si>
  <si>
    <t>Minima cuantía</t>
  </si>
  <si>
    <t>Esperanza Moreno Arevalo</t>
  </si>
  <si>
    <t>esperanza.moreno@mininterior.gov.co</t>
  </si>
  <si>
    <t>DACNARP Renovación y adquisición de licenciamiento para la Entidad de acuerdo con las especificaciones técnicas señaladas por el Ministerio del Interior</t>
  </si>
  <si>
    <t>43212110;44103100;44103103;44103125;44103105;44103116</t>
  </si>
  <si>
    <t>DACNARP Adquisición de consumibles de impresión para el Ministerio del Interior</t>
  </si>
  <si>
    <t>Jorge Armando Serrano</t>
  </si>
  <si>
    <t>jarmandoserrano@mininterior.gov.co</t>
  </si>
  <si>
    <t>82141504;82101801;82101601;82101603;82101905</t>
  </si>
  <si>
    <t>DACNARP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</si>
  <si>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Idalmy Minotta Teràn</t>
  </si>
  <si>
    <t>Idalmy.minotta@mininterior.gov.co</t>
  </si>
  <si>
    <t>CO-DC</t>
  </si>
  <si>
    <t>Distrito Capital de Bogotá</t>
  </si>
  <si>
    <t>94131503;94131504;94131805;93141706;81131504;80101602;80141501;81141606;86111503;93151511;86101705</t>
  </si>
  <si>
    <t>DACNARP  Aunar esfuerzos, técnicos, administrativos y financieros con el fin de  realizar un  diplomado dirigido a líderes de consejos comunitarios y organizaciones de base en resolución de conflictos, paz, derechos humanos y cultura democrática; compilar la legislación que promueve los derechos de las comunidades que atiende esta dirección; y construir la tabla de precios de reembolsos de gastos de transporte multimodal y de las garantías logísticas para los diferentes espacios y reuniones donde participen los delegados de las instancias representativas de las comunidades afrocolombianas, negras, palenqueras y raizales.</t>
  </si>
  <si>
    <t>Aumentar la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t>
  </si>
  <si>
    <t>94131503;94131504;93141706;94131805</t>
  </si>
  <si>
    <t>DACNARP Contratar el desarrollo de actividades técnicas, administrativas y metodológicas orientadas al cumplimiento de ordenes (administrativas y/o judiciales) y compromisos adquiridos por el Ministerio del Interior con las comunidades Negras y Afrocolombianas del pacifico Colombiano</t>
  </si>
  <si>
    <t>DACNARP Contratar la automatización de los procesos relacionados con el registro Público ünico de Comunidades Negras, Afrocolombianas, Raizales y Palenqueras.</t>
  </si>
  <si>
    <t>DACNARP Adquisición de equipos de cómputo y escáneres para el Ministerio del Interior</t>
  </si>
  <si>
    <t>Selección abreviada - acuerdo marco</t>
  </si>
  <si>
    <t>DAIRM</t>
  </si>
  <si>
    <t>El Ministerio del Interior en el marco de la sentencia T-025 y los autos de seguimiento, brindará atención integral a la población desplazada.</t>
  </si>
  <si>
    <t>94131805;93141706</t>
  </si>
  <si>
    <t>DAIRM - Prestar servicios de apoyo técnico, administrativo, operativo y financiero para ejecutar las actividades y proyectos destinados al fortalecimiento e implementación de planes de salvaguarda y el desarrollo de iniciativas de bienestar para los pueblos indígenas de Colombia.</t>
  </si>
  <si>
    <t>Cesar Armando Fandiño Pineda</t>
  </si>
  <si>
    <t>cesar.fandino@mininterior.gov.co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</si>
  <si>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Permanente de Concertación-MPC.</t>
  </si>
  <si>
    <t xml:space="preserve">A-03-06-01-013 </t>
  </si>
  <si>
    <t>DAIRM - Prestar servicios de apoyo técnico, administrativo, operativo y financiero para ejecutar los planes de salvaguarda, actividades y proyectos destinados al fortalecimiento y protección de los pueblos indígenas, y compromisos establecidos en el Plan Nacional de Desarrollo.</t>
  </si>
  <si>
    <t>El Ministerio del Interior desarrollará las acciones correspondientes y pertinentes  para el cumplimiento de los compromisos adquiridos durante el proceso de  Consulta Previa del Plan Nacional de Desarrollo - PND 2022-2026, "Colombia, Potencia Mundial de la Vida", con los pueblos y organizaciones indígenas en el marco de la Mesa Regional Amazónica -MRA.</t>
  </si>
  <si>
    <t>DAIRM - Aunar esfuerzos entre la Dirección de Asuntos Indígenas, Rom y Minorías del Ministerio del Interior y la Organización Nacional de los Pueblos Indígenas de la Amazonia Colombiana – OPIAC para socializar, fortalecer y promover el diálogo, la concertación e incidencia de y con los pueblos indígenas de la Amazonía colombiana en la Mesa Regional Amazónica – MRA y sus estructuras de diálogo y concertación departamentales.</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</si>
  <si>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</si>
  <si>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DAIRM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</si>
  <si>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El Ministerio del Interior garantizará y promoverá  espacios de diálogo y concertación entre las autoridades de los Pueblos Indígenas y las Instituciones, en el orden nacional, regional y local.</t>
  </si>
  <si>
    <t xml:space="preserve">Generar espacios de diálogo y concertación de acuerdo a usos y costumbres de los Pueblos indígenas , previa solicitud de intervención. </t>
  </si>
  <si>
    <t>El Ministerio del Interior realizará acciones de atención,  en el marco de las medidas de protección del Cerrem Colectivo, recomendaciones de las alertas tempranas y  trámites de denuncias para el  fortalecimiento,  promoción y prevención de los derechos humanos de los pueblos indígenas en todo el territorio nacional.</t>
  </si>
  <si>
    <t xml:space="preserve">Fortalecer los procesos organizativos, estructurales y de capacidad institucional de la Dirección de Asuntos Indígenas, Rom y Minorías,  con el fin de consolidar la gestión para el desarrollo del funcionamiento misional, estratégico y administrativo de la misma. </t>
  </si>
  <si>
    <t>DAIRM - Contratación de servicios profesionales, asistenciales y técnicos como apoyo a la gestión del ministerio del interior.</t>
  </si>
  <si>
    <t>DAIRM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</si>
  <si>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DAIRM  Suministrar el transporte aéreo en vuelos Nacionales e Internacionales para los funcionarios, contratistas del Ministerio del Interior y funcionarios de la Policía Nacional que prestan sus servicios de protección y seguridad en el Ministerio del Interior</t>
  </si>
  <si>
    <t>El Ministerio del Interior garantizará el funcionamiento del Sistema Indígena de Colombia.</t>
  </si>
  <si>
    <t>El Ministerio del Interior garantizará el registro de las comunidades indígenas, según requerimiento de las autoridades indígenas.</t>
  </si>
  <si>
    <t>El Ministerio del Interior garantizará el cumplimiento de las órdenes judiciales emanadas por las altas cortes y la atención a los requerimientos realizados por los entes de control.</t>
  </si>
  <si>
    <t>El Ministerio del Interior realizará las acciones relacionadas a su misionalidad y que le correspondan en el marco de la Sentencia 4360 de 2018 “Pacto Intergeneracional por la Vida del Amazonas como herramienta para contrarrestar la deforestación de la Amazonía Colombiana”.</t>
  </si>
  <si>
    <t>El Ministerio del Interior realizará las acciones correspondientes de acuerdo a su misionalidad, con el fin de coadyuvar a la solución de problemáticas transversales que incluyen diversos sectores plasmados en los Documentos de Política Pública, cuya formulación es coordinada por el Consejo Nacional de Política Económica y Social –CONPES.</t>
  </si>
  <si>
    <t>El Ministerio del Interior desarrollará en el marco de su misionalidad los Programas de Desarrollo con Enfoque Territorial (PDET) que reconocen la diversidad étnica, así como los derechos fundamentales de los Pueblos Indígenas de Colombia. </t>
  </si>
  <si>
    <t>A-03-06-01-014</t>
  </si>
  <si>
    <t>DAIRM - Aunar esfuerzos entre la Dirección de Asuntos Indígenas, Rom y Minorías del Ministerio del Interior y la Organización Nacional Indígena de Colombia-ONIC para el fortalecimiento de la Mesa Permanente de Concertación con los Pueblos y Organizaciones Indígenas en el marco del cumplimiento del Decreto 1397 de 1996 y el acuerdo IT2-58 del Plan Nacional de Desarrollo 2022-2026.</t>
  </si>
  <si>
    <t xml:space="preserve">El Ministerio del Interior avanzará en la puesta en funcionamiento de los territorios indígenas respecto de la administración de los sistemas propios de los pueblos indígenas en el marco del Decreto 1953 de 2014 en su artículo 35 "Mecanismo excepcional de ejecución Pueblo Nukak Maku". </t>
  </si>
  <si>
    <t>A-03-03-02-014</t>
  </si>
  <si>
    <t>DAIRM - Suscribir un Convenio, para la Formulación e implementación de proyectos productivos para el  pueblo Nukak Maku.</t>
  </si>
  <si>
    <t>C-3701-1000-35</t>
  </si>
  <si>
    <t>C-3701-1000-36</t>
  </si>
  <si>
    <t xml:space="preserve">El Ministerio del Interior administrará y ejecutará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</si>
  <si>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 xml:space="preserve">DAIRM - Suscribir un Convenio, para el cumplimiento del acuerdo, en la ejecución de los recursos asignados al Fondo del Buen Vivir,  para los programas y proyectos concertados con las organizaciones indígenas que participan en la Mesa Permanente de Concertación-MPC, de acuerdo con el reglamento que se establezca para el mismo, en el marco del artículo No. 357 de la Ley No. 2294 de 2023. </t>
  </si>
  <si>
    <t>El Ministerio del Interior realizará acciones para el Fortalecimiento de los Sistemas de Gobierno Propio y Capacidad Organizativa de los pueblos y comunidades indígenas a nivel nacional.</t>
  </si>
  <si>
    <t>Garantizar el cumplimiento, desarrollo y seguimiento de los acuerdos adquiridos por el Gobierno Nacional con el Consejo Regional Indígena del Cauca (CRIC) en el marco del Decreto No. 1811 de 2017.</t>
  </si>
  <si>
    <t>C-3701-1000-32</t>
  </si>
  <si>
    <t>DAIRM - Aunar esfuerzos técnicos, administrativos y financieros, con el Comité Internacional para el Desarrollo de los Pueblos – CISP y promover  acciones orientadas al fortalecimiento de los derechos territoriales, gobierno propio y programas de las poblaciones y comunidades indígenas del Departamento del Cauca.</t>
  </si>
  <si>
    <t>El Ministerio del Interior garantizará el desarrollo Integral de los Pueblos Pastos y Quillacingas.</t>
  </si>
  <si>
    <t>C-3701-1000-37</t>
  </si>
  <si>
    <t>DAIRM - Prestar la asistencia técnica, administrativa, operativa y financiera en el desarrollo de los proyectos priorizados por el Ministerio del Interior en el marco de los compromisos orientados al cumplimiento del Decreto 2194 del 2013 y a la protección, promoción y fortalecimiento integral de los pueblos indígenas Pastos y Quillasingas.</t>
  </si>
  <si>
    <t xml:space="preserve">Generar espacios de diálogo y concertación de acuerdo a usos y costumbres de los Pueblos indígenas, previa solicitud de intervención. </t>
  </si>
  <si>
    <t>80111623;80141607;80141902;80161502;80161507;81141601;81141604;81141606;80141902;90101601;90101603;90101604;90111601;90111602;90111603;90151802;93141701;93141702</t>
  </si>
  <si>
    <t>DAIRM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</si>
  <si>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DAIRM - Aunar esfuerzos entre el Ministerio del Interior a través de la Dirección de Asuntos Indígenas, ROM y Minorías y el Consejo Regional Indígena del Cauca CRIC, para el Fortalecimiento de la Comisión Mixta como estrategia de Gobierno Propio, y garantizar el Desarrollo Integral de la Política Pública Indígena para los pueblos indígenas del Cauca- CRIC creada mediante Decreto 1811 de 2017</t>
  </si>
  <si>
    <t>DAIRM - Aunar esfuerzos entre la Dirección de Asuntos Indígenas, Rom y Minorías del Ministerio del Interior y el cabildo indígena del Resguardo Guambiano La Bonanza, para el fortalecimiento del gobierno propio y la pervivencia de los Pueblos Misak, Nasa y Quillasinga el desarrollo del encuentro regional e intercultural en el Municipio de Piendamó Cauca.</t>
  </si>
  <si>
    <t>94131805;93141706;80101600</t>
  </si>
  <si>
    <t>DAIRM - Adición al contrato 2595 de 2023, cuyo objeto es el siguiente: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t>
  </si>
  <si>
    <t>DAIRM - Aunar esfuerzos entre la Dirección de Asuntos Indígenas, Rom y Minorías del Ministerio del Interior y el Cabildo Menor las Huertas para la actualización del reglamento interno como instrumento de control social, el mejoramiento de la convivencia, la resolución de conflictos y fortalecimiento de la guardia indígena de el cabildo menor las huertas AZCIMMO en el departamento de sucre</t>
  </si>
  <si>
    <t>DAIRM - Aunar esfuerzos entre la Dirección de Asuntos Indígenas, Rom y Minorías y la Organización Nacional de los Pueblos Indígenas de la Amazonia Colombiana – OPIAC, para el Fortalecimiento Organizativo y Desarrollo Integral para Pueblos Indígenas Amazónicos en Colombia, Promoviendo la Participación Activa y la Preservación Cultural en el Marco del Plan Nacional de Desarrollo 2022-2026.</t>
  </si>
  <si>
    <t>DAIRM - Aunar esfuerzos entre la Dirección de Asuntos Indígenas, Rom y Minorías y la Organización Nacional de los Pueblos Indígenas de la Amazonia Colombiana – OPIAC, con el fin de fortalecer el avance del Plan estratégico, plan de prevención y plan de contingencia para la implementación del Decreto 1232 de 2018, con el fin de eliminar las presiones y amenazas al territorio de los YuriPassé y otros pueblos indígenas en aislamiento.</t>
  </si>
  <si>
    <t>DAIRM - Aunar esfuerzos entre la Dirección de Asuntos Indígenas, Rom y Minorías y AICO por la Pachamama para incrementar la participación y fortalecer el liderazgo de las mujeres indígenas en el marco del fortalecimiento de la Comisión Nacional de Mujeres Indígenas.</t>
  </si>
  <si>
    <t>DAIRM - Aunar esfuerzos entre el Ministerio del Interior y el Consejo Regional Indígena del Huila CRIHU para el fortalecimiento político organizativo de la Asociación de Autoridades Tradicionales del– CRIHU, para la pervivencia y buen vivir de los ocho pueblos originarios, Nasa, Misak, Yanacona, Embera Chami, Pijao, Inga, Andaquies y Tamaz del Departamento del Huila.</t>
  </si>
  <si>
    <t>DAIRM - Aunar esfuerzos entre el ministerio del interior a través de la Dirección de Asuntos Indígenas, Rom y Minorías y la Asociación Indígena CAMAWARI, para el fortalecimiento de la mesa de concertación del pueblo AWA-MCAWA 2024 en el marco de la implementación del eje de gobierno propio del plan de salvaguarda étnico del pueblo AWA.</t>
  </si>
  <si>
    <t>DAIRM - Aunar esfuerzos entre la Dirección de Asuntos Indígenas, Rom y Minorías y UNIPA, con el fin de fortalecer la capacidad organizativa y de gestión de los resguardos indígenas AWA asociados a la asociación de autoridades territoriales AWA, organización unidad del pueblo indígena (UNIPA), promoviendo el empoderamiento, la autonomía y el respeto por su cultura y tradición.</t>
  </si>
  <si>
    <t>El Ministerio del Interior desarrollará las acciones correspondientes y pertinentes para el cumplimiento de los compromisos adquiridos durante el proceso de Consulta Previa del Plan Nacional de Desarrollo -PND 2022-2026, "Colombia, Potencia Mundial de la Vida", con el Pueblo ROM en el marco de la Comisión Nacional de Diálogo-CND.</t>
  </si>
  <si>
    <t>A-02-02-02-008-003-01-9</t>
  </si>
  <si>
    <t>DAIRM - Contratación de servicios profesionales, asistenciales y técnicos para la evaluación y monitoreo del licenciamiento ambiental de proyectos de exploración y explotación del Sistema General de Regalías, por parte de la Secretaria Técnica de la CND del pueblo Rom en el marco de la Ley 2072 de 2020.</t>
  </si>
  <si>
    <t>DAIRM - Aunar esfuerzos entre la Dirección de Asuntos Indígenas, Rom y Minorías del Ministerio del Interior y la Organización Nacional Indígena de Colombia - ONIC, para la formulación concertada del programa nacional para el fortalecimiento de los planes de vida o sus equivalentes, mediante el dialogo con las autoridades de los pueblos y organizaciones indígenas.</t>
  </si>
  <si>
    <t>DAIRM - Aunar esfuerzos entre la Dirección de Asuntos Indígenas, Rom y Minorías del Ministerio del Interior y el Cabildo de San Lorenzo para el fortalecimiento de la autonomía y gobernabilidad en el marco del cumplimiento de la medida cautelar auto AI - 061 de 2022, orden decima proferida por la sección de ausencia de reconocimiento de verdad y responsabilidad de la jurisdicción especial para la paz.</t>
  </si>
  <si>
    <t>DAIRM - Aunar esfuerzos entre el Ministerio del Interior a través de la Dirección de Asuntos Indígenas, Rom y Minorías y la Asociación de Cabildos y Autoridades Tradicionales Indígenas del Departamento de Arauca – ASCATIDAR, para  la segunda fase del proceso de concertación y desarrollo técnico del plan de salvaguarda de la nación U’WA,  de la nación U’WA, asentada en los departamentos de Arauca, en el marco del cumplimiento del mandato de la corte constitucional mediante el auto 004 de 2009 de la sentencia T-025 de 2004.</t>
  </si>
  <si>
    <t>A-03-06-01-013</t>
  </si>
  <si>
    <t>SUBDIRECCION DE GESTION CONTRACTUAL</t>
  </si>
  <si>
    <t>DAIRM - Adquisición equipos de cómputo y periféricos para el ministerio del interior.</t>
  </si>
  <si>
    <t>DAIRM - Suscribir un Convenio, para el cumplimiento de los acuerdos con el Consejo Regional Indigenas del Cauca - CRIC - RECURSOS APLAZADOS</t>
  </si>
  <si>
    <t>DAIRM - Aunar esfuerzos entre la Dirección de Asuntos Indígenas, Rom y Minorías y las Autoridades Tradicionales Indígenas de Colombia – GOBIERNO MAYOR para el fortalecimiento de los espacios de diálogo político con los diferentes pueblos indígenas del país, así como la realización de las jornadas de implementación del protocolo OUNUWAWA PUTCHI ANASÜ y la selección de los participantes del pueblo wayuu en el MESESPP de conformidad con el Decreto 0147 de 2024.</t>
  </si>
  <si>
    <t>Garantizar el cumplimiento del plan de acción concertado para el cumplimiento de los parámetros constitucionales aplicables a las políticas públicas del Gobierno Nacional, del departamento de la Guajira de los municipios de Riohacha, Manaure, Maicao y Uribía y de las autoridades indígenas con jurisdicción en esos municipios  en el marco de la sentencia T-302 de 2017</t>
  </si>
  <si>
    <t>Fortalecer los procesos organizativos, estructurales y de capacidad institucional de la Dirección de Asuntos Indígenas, Rom y Minorías,  con el fin de consolidar la gestión para el desarrollo del funcionamiento misional, estratégico y administrativo de la misma.</t>
  </si>
  <si>
    <t>DAL</t>
  </si>
  <si>
    <t>Mejorar capacidad técnica institucional para responder a las necesidades del Ministerio del Interior en el relacionamiento con el Congreso de la República</t>
  </si>
  <si>
    <t>C-3799-1000-18</t>
  </si>
  <si>
    <t>DAL Contratación de Servicios Profesionales, Asistenciales y Técnicos como apoyo a la gestión del Ministerio del Interior.</t>
  </si>
  <si>
    <t>Ivonne González Rodriguez</t>
  </si>
  <si>
    <t>ivonne.gonzalez@mininterior.gov.co</t>
  </si>
  <si>
    <t>DAL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</si>
  <si>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Kevin Fernando Henao </t>
  </si>
  <si>
    <t>kevin.henao@mininterior.gov.co</t>
  </si>
  <si>
    <t>DAL Suministrar el transporte aéreo en vuelos Nacionales e Internacionales para los funcionarios, contratistas del Ministerio del Interior y funcionarios de la Policía Nacional que prestan sus servicios de protección y seguridad en el Ministerio del Interior.</t>
  </si>
  <si>
    <t>82121504;55101504;82111904</t>
  </si>
  <si>
    <t>DAL Prestar los servicios para la impresión, y distribucion en sitio a nivel nacional de instrumentos de informacion de la Direccion de Asuntos Legislativos del Ministerio del Interior</t>
  </si>
  <si>
    <t xml:space="preserve">86132000;86101705;86101714
</t>
  </si>
  <si>
    <t>DAL Contratar el diseño, la implementación, elaboración de contenidos académicos, garantizar la inscripción y desarrollo del diplomado en derecho parlamentario y trámite legislativo, de conformidad con las características descritas en el alcance del objeto del presente proceso de selección.</t>
  </si>
  <si>
    <t>Optimizar los procesos administrativos de la Dirección de Asuntos Legislativos en el tratamiento de flujos de información y respuesta a solicitudes.</t>
  </si>
  <si>
    <t>43232107;80101507;81161501;81111503;81111500;43232200;43232408</t>
  </si>
  <si>
    <t>DAL Contratar la prestación de servicios para realizar el análisis, estructuración, rediseño, desarrollo, implementación y puesta en funcionamiento del portal web legislapp 2.0 del ministerio del interior.</t>
  </si>
  <si>
    <t>43201800;43211500;43211600</t>
  </si>
  <si>
    <t>DAL Compra de equipos de cómputo y periféricos para el fortalecimiento de las áreas asistenciales y administrativas de la Dirección de Asuntos Legislativos del Ministerio del Interior.</t>
  </si>
  <si>
    <t>Sandra.Contreras@mininterior.gov.co</t>
  </si>
  <si>
    <t>56101500;56112104;56101719</t>
  </si>
  <si>
    <t>DAL Adecuación, adquisición e instalacion de mobiliario para la restructuración de la oficina de la Dirección de Asuntos Legislativos del Ministerio del interior.</t>
  </si>
  <si>
    <t>DAL Renovación y adquisición de licenciamiento para la Entidad de acuerdo con las especificaciones técnicas señaladas por el Ministerio del Interior</t>
  </si>
  <si>
    <t>DAR</t>
  </si>
  <si>
    <t xml:space="preserve">Fortalecimiento del Ministerio del Interior en lo relacionado con el derecho de libertad religiosa y de cultos de manera integral (Fortalecimiento institucional Actualización de formatos y protocolos en asuntos religiosos </t>
  </si>
  <si>
    <t>A-03-11-08-001</t>
  </si>
  <si>
    <t>DAR Prestación de servicios profesionales o de apoyo en la Dirección de Asuntos Religiosos para promover la garantía y respeto de la Libertad Religiosa y Consolidar el Sistema Nacional de Libertad Religiosa y de Cultos, Diálogo Social, Paz Total, Igualdad y No Estigmatización – SINALIBREC</t>
  </si>
  <si>
    <t>Amelia Rocio Cotes Cortes</t>
  </si>
  <si>
    <t>amelia.cotes@mininterior.gov.co</t>
  </si>
  <si>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</si>
  <si>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 xml:space="preserve">Fortalecimiento de la articulación intersectorial interinstitucional y territorial en el marco de la garantía del derecho de libertad religiosa y de cultos </t>
  </si>
  <si>
    <t>DAR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</si>
  <si>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DAR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</si>
  <si>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</si>
  <si>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DAR Suministrar el transporte aéreo en vuelos Nacionales e Internacionales para los funcionarios, contratistas del Ministerio del Interior y funcionarios de la Policía Nacional que prestan sus servicios de protección y seguridad en el Ministerio del Interior</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</si>
  <si>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</si>
  <si>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80101600;81131500;86132000;92111504;93121607;93121700;93131503;93131703;93141706;93141900;94131503;94131504;94131805;94132000</t>
  </si>
  <si>
    <t>DAR Aunar esfuerzos técnicos, administrativos y financieros para el fortalecimiento de la integración de procesos, la coordinación de entidades, la asignación de recursos y el conocimiento, para brindar garantías para el goce efectivo del derecho de la libertad religiosa y de cultos en el territorio nacional</t>
  </si>
  <si>
    <t>C-3704-1000-8</t>
  </si>
  <si>
    <t xml:space="preserve">Divulgación y promoción del conocimiento de la normatividad el hecho y la cultura religiosa en Colombia </t>
  </si>
  <si>
    <t>Promoción en la sociedad civil las entidades públicas y privadas y los medios de comunicación de la no discriminación la tolerancia y la no estigmatización por motivos religiosos</t>
  </si>
  <si>
    <t>Puesta en común de los avances en la implementación de la política pública</t>
  </si>
  <si>
    <t>DAR Adquisición de equipos de cómputo y escáneres para el Ministerio del Interior</t>
  </si>
  <si>
    <t>Jorge Eliecer Ortiz Fernández</t>
  </si>
  <si>
    <t>eliecer.ortiz@mininterior.gov.co</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</si>
  <si>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</si>
  <si>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DAR Adquisición de los bienes de consumo necesarios para el correcto funcionamiento de las dependencias del Ministerio del Interior para la vigencia 2024</t>
  </si>
  <si>
    <t>Mínima Cuantía</t>
  </si>
  <si>
    <t>DAR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</si>
  <si>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 xml:space="preserve">4.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</si>
  <si>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DDH</t>
  </si>
  <si>
    <t>Fortalecer la política pública de prevención de violaciones a los Derechos a la vida, integridad, libertad y seguridad de personas, grupos y comunidades.</t>
  </si>
  <si>
    <t>C-3701-1000-30</t>
  </si>
  <si>
    <t>DDH - 
Contratación de Servicios Profesionales, Asistenciales y Técnicos como apoyo a la gestión del Ministerio del Interior.</t>
  </si>
  <si>
    <t>Franklin castañeda</t>
  </si>
  <si>
    <t>franklin.castaneda@mininterior.gov.co</t>
  </si>
  <si>
    <t>Fortalecer el Programa Integral de Seguridad y Protección para Comunidades y Organizaciones en los Territorios</t>
  </si>
  <si>
    <t>Fortalecer e implementar la Política de Convivencia, Reconciliación, Tolerancia, y No Estigmatización.</t>
  </si>
  <si>
    <t>DDH -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</si>
  <si>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DDH - Suministrar el transporte aereo en vuelos nacionales e internacionales para funcionarios contratistas del ministerio del interior  y funcionarios de la Policia Nacional que prestan sus servicios de proteccion y seguridad en el Ministerio del Interior</t>
  </si>
  <si>
    <t>93131501;93131502;93131503</t>
  </si>
  <si>
    <t>DDH - Prestar servicios para apoyar a la dirección de derechos humanos en la planeación y desarrollo de un diplomado, generando conocimiento y fortalecimiento de habilidades, promoviendo herramientas para proteger los derechos humanos y apoyar la paz y la justicia en el país.</t>
  </si>
  <si>
    <t>DDH - Prestar los servicios de asistencia técnica y administrativa de los recursos asignados a la puesta en marcha de los proyectos viabilizados con cargo al Banco de Proyectos de la Dirección de Derechos Humanos</t>
  </si>
  <si>
    <t>DDH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</si>
  <si>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94131503;94131504;80101505;80101509</t>
  </si>
  <si>
    <t>DDH - Prestar servicios para implementar estrategias de derechos humanos con enfoque de género y fortalecer políticas públicas para prevenir violaciones a los derechos humanos y garantizar el respeto a la labor de defensa de los mismos</t>
  </si>
  <si>
    <t>7</t>
  </si>
  <si>
    <t>14111500;82101800;82121500;82121800</t>
  </si>
  <si>
    <t>DDH - Prestar servicios a la Dirección de Derechos Humanos del Ministerio del Interior en el diseño e impresión de documentos para el desarrollo de acciones, iniciativas y políticas dentro de su marco de trabajo.</t>
  </si>
  <si>
    <t>Fortalecer la Política de Garantía y Respeto a la labor de defensa de los Derechos Humanos</t>
  </si>
  <si>
    <t>C-3701-1000-39</t>
  </si>
  <si>
    <t>Fortalecer la gestión de los cementerios como acción de apoyo al proceso de búsqueda de personas desaparecidas en Colombia.</t>
  </si>
  <si>
    <t>C-3701-1000-42</t>
  </si>
  <si>
    <t>Fortalecer la adopción en territorio del enfoque basado en Derechos Humanos</t>
  </si>
  <si>
    <t>C-3701-1000-38</t>
  </si>
  <si>
    <t>Impulsar la garantía del ejercicio efectivo de los derechos de los integrantes de los sectores sociales LGBTIQ+ en los territorios.</t>
  </si>
  <si>
    <t>Fortalecer las capacidades territoriales para la garantía y protección efectiva de los derechos humanos y las libertades en contextos de manifestación pública y protesta social pacífica.</t>
  </si>
  <si>
    <t>C-3701-1000-41</t>
  </si>
  <si>
    <t xml:space="preserve">Fortalecer el  Programa de protección a personas que se encuentran en situación de riesgo contra su vida, integridad, seguridad o libertad, por causas relacionadas con la violencia en Colombia </t>
  </si>
  <si>
    <t>A-03-03-01-009</t>
  </si>
  <si>
    <t>1</t>
  </si>
  <si>
    <t>DDH -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</si>
  <si>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Realizar seguimiento de los autos y órdenes a cargo de la Dirección de Derechos Humanos que conforman la sentencia T-025, para avanzar en su cumplimiento</t>
  </si>
  <si>
    <t>Apoyar la implementación del Plan de Acción Nacional del Programa Integral de Garantías para Lideresas y Defensoras de DDHH, en el marco del auto 737, sentencia T-025</t>
  </si>
  <si>
    <t xml:space="preserve">Apoyar al avance del auto 373 a través del seguimiento a la implementación de la ruta de protección colectiva en el marco de las garantías de los Derechos Humanos. </t>
  </si>
  <si>
    <t>Impulsar el mejoramiento de las capacidades de las entidades territoriales para transversalizar el enfoque de género en la gestión de la convivencia y la seguridad humana a nivel nacional.</t>
  </si>
  <si>
    <t>C-3702-1000-14</t>
  </si>
  <si>
    <t>DDH - Contratación de Servicios Profesionales, Asistenciales y Técnicos como apoyo a la gestión del Ministerio del Interior.</t>
  </si>
  <si>
    <t>DDH - Adquisición de equipos de cómputo y escáneres para el Ministerio del Interior</t>
  </si>
  <si>
    <t>1  </t>
  </si>
  <si>
    <t>DDH -Prestar servicios para implementar estrategias de derechos humanos con enfoque de género y fortalecer políticas públicas para prevenir violaciones a los derechos humanos y garantizar el respeto a la labor de defensa de los mismos</t>
  </si>
  <si>
    <t>14121503;14111506;44122003</t>
  </si>
  <si>
    <t>DDH - Adquisición de consumibles de impresión para el Ministerio</t>
  </si>
  <si>
    <t>DDPCAC</t>
  </si>
  <si>
    <t>Propender por la transparencia electoral por medio de la herramienta URIEL</t>
  </si>
  <si>
    <t>A-03-03-04-035</t>
  </si>
  <si>
    <t>DDPCAC Contratación de Servicios Profesionales, Asistenciales y Técnicos como apoyo a la gestión del Ministerio del Interior.</t>
  </si>
  <si>
    <t>Alejandro Ramírez Roa</t>
  </si>
  <si>
    <t xml:space="preserve"> alejandro.ramirez@mininterior.gov.co</t>
  </si>
  <si>
    <t>DDPCAC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</si>
  <si>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DDPCAC Adquisición soporte y mantenimiento plataforma – BPM - Auraquantic en cumplimiento al anexo técnico dispuesto por la entidad.</t>
  </si>
  <si>
    <t>Jorge Eliecer Ortíz</t>
  </si>
  <si>
    <t>319 4170390</t>
  </si>
  <si>
    <t>81111504;81111509;43232300;80101604;81111508;81111510;43233508</t>
  </si>
  <si>
    <t>DDPCAC Contratar servicios tecnológicos para la actualización de la APP URIEL - Unidad de Recepción Inmediata para la Transparencia Electoral -, con el propósito de satisfacer las necesidades informativas y de gestión, garantizando el acceso y disponibilidad pública de la información.</t>
  </si>
  <si>
    <t>Coordinar las elecciones y mecanismos de participación ciudadana y promover la transparencia electoral por medio de procesos pedagógicos</t>
  </si>
  <si>
    <t>DDPCAC Suministrar el transporte aéreo en vuelos Nacionales e Internacionales para los funcionarios, contratistas del Ministerio del Interior y funcionarios de la Policía Nacional que prestan sus servicios de protección y seguridad en el Ministerio del Interior.</t>
  </si>
  <si>
    <t>DDPCAC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</si>
  <si>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DDPCAC Adquirir el servicio de socialización y divulgación de la Política Pública de Participación Ciudadana y Electoral, así como la promoción de normatividad vigente en aspectos electorales, a través del diseño e implementación de estrategias de difusión; además de la consolidación del Proyecto de Ley de Garantías, Promoción y Participación desde la investigación y análisis normativo.</t>
  </si>
  <si>
    <t>Cristian Camilo Chaparro</t>
  </si>
  <si>
    <t>cristian.chaparroDDP@mininterior.gov.co</t>
  </si>
  <si>
    <t>Tramitar todas las solicitudes recibidas por medio de la VUEP (Ventanilla Única Electoral Permanente)</t>
  </si>
  <si>
    <t>Brindar acompañamiento a las comisiones departamentales y nacionales para la coordinación y seguimiento a los procesos electorales y mecanismos de participación</t>
  </si>
  <si>
    <t xml:space="preserve">Fortalecer a las organizaciones de personas con discapacidad en materia de participación ciudadana y en normatividad sobre discapacidad e inclusión social. </t>
  </si>
  <si>
    <t>A-03-03-01-065</t>
  </si>
  <si>
    <t>DDPCAC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</si>
  <si>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93121607;7710164;80101500;8010164;80141902;80101600;86141501;93140000
93141501;
93141506;
9314190;
9413185</t>
  </si>
  <si>
    <t>DDPCAC Realizar la asistencia y apoyo técnico para desarrollar actividades y/o proyectos orientados a promover la participación política, social, y ciudadana, el fortalecimiento del campesinado como sujeto de derechos y la implementación y la ejecución de los aspectos administrativos, presupuestales y documentales en la implementación y seguimiento a las iniciativas seleccionadas en el marco del Banco de Proyectos 2024 de la Dirección de Democracia, la Participación Ciudadana y la Acción Comunal del Ministerio del Interior 2024</t>
  </si>
  <si>
    <t>DDPCAC-Prestar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</si>
  <si>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Implementar estrategias de sensibilización en materia de derechos humanos, de promoción de la no discriminación y de equiparación de oportunidades.</t>
  </si>
  <si>
    <t>Desarrollar acciones que promuevan la implementacion de la Ley de Participación ciudadana</t>
  </si>
  <si>
    <t>83121701;82101601;82111902</t>
  </si>
  <si>
    <t>DDPCAC Contratar los servicios de preproducción, producción, post producción y emisión de los productos audiovisuales que requiera la Dirección para la Democracia, la Participación Ciudadana y la Acción Comunal del Ministerio del Interior, para llevar a cabo los “Premios Colombia Participa 2024”, en cumplimiento de la Ley 1757 de 2015 Artículo 101.</t>
  </si>
  <si>
    <t>A-03-06-01-001</t>
  </si>
  <si>
    <t>DDPCAC Prestar sus servicios técnicos y administrativos al Ministerio del Interior para el fortalecimiento de las Ligas y Asociaciones de Consumidores del país, brindándoles por conducto del espacio institucional del “Boletín del Consumidor” la información, orientación, y apoyo institucional que se requiera.</t>
  </si>
  <si>
    <t>81111504;81111509;43232300</t>
  </si>
  <si>
    <t>DDPCAC Aunar esfuerzos técnicos, administrativos y financieros para llevar a cabo las actividades relacionadas con la estructuración, diseño e implementación de sistemas de información requeridos para los consejos territoriales de participación, así como para los procesos de educación continuada enmarcados dentro del desarrollo de la Escuela de Formación de la población objeto del Ministerio del Interior.</t>
  </si>
  <si>
    <t xml:space="preserve">81111504;81112103;86141501;81111704;86111505;81000000
</t>
  </si>
  <si>
    <t>DDPCAC-Actualizar la Escuela Virtual de Participación de la Dirección para la Democracia, la
Participación Ciudadana y la Acción Comunal, mediante el ajuste de módulos existentes y la
creación de nuevos módulos virtuales para el fortalecimiento de la participación ciudadana y
democrática, organismos de acción comunal y del campesinado.</t>
  </si>
  <si>
    <t>Fortalecer la participación política, social y ciudadana juvenil</t>
  </si>
  <si>
    <t>8010150;8010160;8614151;9314151;9314156;93140000;80141902</t>
  </si>
  <si>
    <t>DDPCAC Aunar esfuerzos técnicos, administrativos y financieros entre el Ministerio del Interior para adelantar acciones que promuevan el fortalecimiento de la participación política, social y ciudadana juvenil como estrategia pedagógica, participativa para construir caminos hacia la paz total y la  seguridad humana.</t>
  </si>
  <si>
    <t>Fortalecer la participación política, social y ciudadana de las mujeres</t>
  </si>
  <si>
    <t>Fortalecer el Control Social</t>
  </si>
  <si>
    <t xml:space="preserve">81111504;81112103;86141501;81111704;86111505;81112103
</t>
  </si>
  <si>
    <t xml:space="preserve">Realizar fortalecimiento y reconocimiento del campesinado y sus organizaciones como sujetos de derechos. </t>
  </si>
  <si>
    <t>14111507;44101707;44111506;44111509;44111510;44111515;44111905;44111912;44121503;44121612;44121613;44121615;44121618;44121619;44121622;44121626;44121634;44121701;44121706;44121707;44121708;44121716;44121804;44121904;44121905;44122010;44122003;44122011;44122019;44122027;44122101;44122104;44122107</t>
  </si>
  <si>
    <t>DDPCAC Compra de Utiles de Escritorio y derivados del carton para todas las Dependencias del Ministerio del Interior.</t>
  </si>
  <si>
    <t>86101708;86111500;86111501;86111600</t>
  </si>
  <si>
    <t xml:space="preserve">DDPCAC Aunar esfuerzos técnicos, administrativos y financieros  para fortalecer la participación del campesinado a través del acceso a programas de educación formal como base integral para la construcción de conocimiento en la formulación de políticas, programas y proyectos a nivel nacional.  </t>
  </si>
  <si>
    <t>86101708;86111501;86111600;80111621</t>
  </si>
  <si>
    <t>DDPCAC Aunar esfuerzos técnicos, operativos, administrativos y financieros en las investigaciones, estudios, análisis, diagnósticos y caracterizaciones para el campesinado Colombiano como sujeto de derechos, con el fin de aportar al reconocimiento de los procesos organizativos y de participación del campesinado en cumplimiento de la Resolución 727 de 2022 del Ministerio del Interior</t>
  </si>
  <si>
    <t xml:space="preserve">Fortalecer a las organizaciones de Acción Comunal del territorio nacional  en su capacidad administrativa, juridica, técnica y sistematizacion de procesos. </t>
  </si>
  <si>
    <t>DDPCAC-Renovación y adquisición de licenciamiento para la Entidad de acuerdo con las especificaciones técnicas señaladas por el Ministerio del Interior</t>
  </si>
  <si>
    <t>93141906;93141512;93121608;93141501</t>
  </si>
  <si>
    <t>DDPCAC Contratar los estudios de formalización laboral y dignificación del empleo público con el propósito de ajustar o modernizar la planta de personal, a través de la aplicación de instrumentos, herramientas y orientaciones técnicas, a partir de las cuales se ponga en marcha una transición objetiva del talento humano al servicio del Ministerio del Interior</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</si>
  <si>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</si>
  <si>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DDPCAC Diseñar, Desarrollar e implementar un Sistema Integrado de Información que permita fortalecer a los
organismos de Acción Comunal del territorio nacional en su capacidad administrativa, jurídica, técnica y
sistematización de procesos con el fin de administrar, optimizar la toma de decisiones y distribuir los datos de forma organizada.</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</si>
  <si>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t>
  </si>
  <si>
    <t>DDPCAP Contratar los servicios de preproducción, producción, postproducción, emisión y transmisión de los productos audiovisuales que requiera la Dirección para la Democracia, la Participación Ciudadana y la Acción Comunal del Ministerio del Interior, que permitan visibilizar y reconocer la labor de los Organismos de Acción Comunal OAC, en el marco de la Ley 2166 de 2021.</t>
  </si>
  <si>
    <t>Fortalecer las capacidades de los organismos de acción comunal para el desarrollo de sus propósitos y atención de sus necesidades en el marco de la ley 2166 de 2021 a partir del ejercicio de la democracia participativa a nivel Nacional.</t>
  </si>
  <si>
    <t>C-3704-1000-6</t>
  </si>
  <si>
    <t>86101808;86111604;86133201;55111513</t>
  </si>
  <si>
    <t>DDPCAC-Aunar esfuerzos técnicos, humanos y financieros, que orienten el fortalecimiento de la organización de Acción Comunal, mediante el desarrollo de actividades de capacitación, formación y/o promoción que propicie espacios para la generación de conocimiento e identidad comunal de los Organismos de Acción Comunal a nivel nacional.</t>
  </si>
  <si>
    <t xml:space="preserve">86101708;86111501
</t>
  </si>
  <si>
    <t>DDPCAC Aunar esfuerzos técnicos, administrativos y financieros  para que los jóvenes, mujeres y dignatarios de las organizaciones de acción comunal accedan a programas de educación formal como base integral para la construcción de conocimiento  comunal en atención a lo establecido en la Ley 2166 de 2021.</t>
  </si>
  <si>
    <t>86111502, 86111602</t>
  </si>
  <si>
    <t>DDPCAC Contratar servicios para facilitar el acceso a la oferta educativa Nacional para que los afiliados en especial jóvenes y mujeres de los organismos de acción comunal accedan a programas de educación superior, con el fin de fortalecer el conocimiento y promover su participación en los asuntos locales, municipales, departamentales regionales y nacionales en atención a lo establecido en la ley 2166 de 2021.</t>
  </si>
  <si>
    <t>93141500;80101600</t>
  </si>
  <si>
    <t>DDPCAC Asistencia técnica para la promoción de una cultura y pedagogía ciudadana dirigida a niños, niñas, adolescentes a través del desarrollo de capacidades y fortalecimiento de conocimientos en acción comunal de conformidad con el Artículo 25 de la Ley 2166 de 2021</t>
  </si>
  <si>
    <t>DDPCAC Prestación de los servicios de asistencia
técnica y administración de los recursos para la puesta en marcha de los proyectos viabilizados
con cargo al Banco de Proyectos de la
Dirección para la Democracia la Participación
Ciudadana y la Acción Comunal del Ministerio
del Interior.</t>
  </si>
  <si>
    <t>77101700;77101705;93142009;60105424;93111600</t>
  </si>
  <si>
    <t>DDPCAC Aunar esfuerzos técnicos, administrativos y financieros entre la nación - Ministerio del Interior xxx para la gestión e implementación de perogramas enfocados a la restauración ecologica para  mejorar la gestión ambiental en todo el territorio nacional de acuerdo al articulo 94 de la  Ley  2166 de 2023.</t>
  </si>
  <si>
    <t>DDPCAC-Aunar esfuerzos para promover acciones orientadas al fortalecimiento de la Acción Comunal; a través de la   ejecución los siguientes componentes: A. El diseño y la formulación de la Política Pública de Acción Comunal; B.  La promoción y la realización de procesos de registro, modificación, actualización de la información en el Registro Único Comunal RUC; en el marco de la Ley 2166 de 2021 y el Decreto reglamentario 1501 de 2023 y C. La  caracterización sobre la totalidad de las juntas de Acción Comunal del Distrito de Buenaventura que permita obtener un estudio socioeconómico y el análisis de las variables tendientes a establecer el estado actual de la legalización de las juntas, condiciones económicas de sus integrantes, segmentación por grupo etáreo, género, nivel educativo, expectativas en materia de educación básica y superior de sus miembros, posibles planes de negocio para la Junta y necesidades en materia de capacitación para el Organismo Comunal.</t>
  </si>
  <si>
    <t>Mejorar la participación del campesinado en la formulación de políticas, programas y proyectos en el territorio nacional.</t>
  </si>
  <si>
    <t>C-3704-1000-7</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</si>
  <si>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</si>
  <si>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DDPCAC Adquisición de los bienes de consumo necesarios para el correcto funcionamiento de las dependencias del Ministerio del Interior para la vigencia 2024</t>
  </si>
  <si>
    <t>DDPCAC Aunar esfuerzos técnicos, administrativos y financieros, para la recuperación de la
infraestructura en salud en el territorio nacional, bajo la estrategia de fortalecimiento de las
juntas de acción comunal.</t>
  </si>
  <si>
    <t xml:space="preserve">DDPCAC </t>
  </si>
  <si>
    <t>DSCCG</t>
  </si>
  <si>
    <t xml:space="preserve">FORMULACIÓN E IMPLEMENTACIÓN DE LA POLÍTICA PÚBLICA DE CONVIVENCIA Y SEGURIDAD PARA LA VIDA </t>
  </si>
  <si>
    <t>C-3702-1000-16</t>
  </si>
  <si>
    <t xml:space="preserve">DSCCG Contratos de prestación de servicios profesionales, de apoyo a la Gestión y asistenciales para apoyar a la Dirección  de Seguridad, Convivencia Ciudadana y Gobierno en el fortalecimiento de las entidades territoriales en materia de seguridad, convivencia ciudadana y orden publico. 
</t>
  </si>
  <si>
    <t>Yuly Paola Manosalva Caro</t>
  </si>
  <si>
    <t>yuly.manosalva@mininterior.gov.co</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</si>
  <si>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</si>
  <si>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Suministrar el transporte aéreo en vuelos Nacionales e Internacionales para los funcionarios, contratistas del Ministerio del Interior y funcionarios de la Policía Nacional que prestan sus servicios de protección y seguridad en el Ministerio del Interior.</t>
  </si>
  <si>
    <t>DSCCG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</si>
  <si>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80101600;80141902;86141501;93141500;93141501</t>
  </si>
  <si>
    <t>DSCCG Convenio para fortalecimiento de los instrumentos de política normativos y técnicos que permitan la articulación de la gestión para la convivencia y seguridad en el territorio Nacional.</t>
  </si>
  <si>
    <t>81112006;43211501;43201835;43201803</t>
  </si>
  <si>
    <t>DSCCG Adquisición de un sistema de infraestructura hiperconvergente (HCI), en cumplimiento de las especificaciones técnicas determinadas en el anexo dispuesto por la Entidad</t>
  </si>
  <si>
    <t>Jorge Eliecer Ortiz Fernandez</t>
  </si>
  <si>
    <t>DSCCG Adquisición de los bienes de consumo necesarios para el correcto funcionamiento de las dependencias del Ministerio del Interior para la vigencia 2024</t>
  </si>
  <si>
    <t xml:space="preserve">CREACIÓN DEL SISTEMA NACIONAL DE CONVIVENCIA PARA LA VIDA </t>
  </si>
  <si>
    <t>DSCCG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</si>
  <si>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Atender y hacer seguimiento al 100% de las alertas emitidas por la defensoría del pueblo y mejorar el proceso.</t>
  </si>
  <si>
    <t>A-03-03-04-062</t>
  </si>
  <si>
    <t>DSCCG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</si>
  <si>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DSCCG Aunar esfuerzos técnicos, administrativos y financieros entre la Nación – Ministerio del Interior y el Programa de las Naciones Unidas para el Desarrollo – PNUD, para el fortalecimiento de la gestión de las alertas y recomendaciones de la Defensoría del Pueblo, a través de la plataforma SIGOB-CIPRAT orientada a cumplir con el objetivo de impulsar y concretar la coordinación entre las distintas instituciones y mejorar la efectividad de las respuestas a las recomendaciones</t>
  </si>
  <si>
    <t>CONSOLIDAR LA DESCENTRALIZACIÓN POLÍTICA Y ADMINISTRATIVA, QUE PERMITA FORTALECER EL DESARROLLO REGIONAL, LA CONVIVENCIA Y LA SEGURIDAD LOCAL,  A TRAVÉS DE LA COOPERACIÓN ENTRE ENTIDADES TERRITORIALES Y LA NACIÓN PARA EL DESARROLLO DE LA GOBERNANZA LOCAL, ALREDEDOR DEL AGUA Y LA JUSTICIA AMBIENTAL.</t>
  </si>
  <si>
    <t>A-03-03-01-035</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</si>
  <si>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</si>
  <si>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DSCCG Adquisición de consumibles de impresión para el Ministerio</t>
  </si>
  <si>
    <t>80111621;92101504</t>
  </si>
  <si>
    <t>DSCCG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</si>
  <si>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Dora del Carmen Caro Navarro</t>
  </si>
  <si>
    <t>dora.carodsc@mininterior.gov.co</t>
  </si>
  <si>
    <t>GAPV</t>
  </si>
  <si>
    <t>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t>
  </si>
  <si>
    <t>86101705;93121600</t>
  </si>
  <si>
    <t>GAPV Asistir a los subcomités técnicos nacionales del SNARIV y a las sesiones del equipo técnico interinstitucional de asistencia técnica</t>
  </si>
  <si>
    <t xml:space="preserve">Yeisson Cajamarca Zapata </t>
  </si>
  <si>
    <t>yeisson.cajamarca@mininterior.gov.co</t>
  </si>
  <si>
    <t>GAPV Elaboración de documentos técnicos en el marco del cumplimiento de la Sentencia T-025 de 2004 y sus autos de seguimiento</t>
  </si>
  <si>
    <t>GAPV Coordinar las acciones requeridas con entidades del orden nacional y territorial para el cumplimiento a las órdenes proferidas por la Corte Constitucional</t>
  </si>
  <si>
    <t>GAPV Contratación de Servicios Profesionales, Asistenciales y Técnicos como apoyo a la gestión del Ministerio del Interior.</t>
  </si>
  <si>
    <t>GAPV Suministrar el transporte aéreo en vuelos Nacionales e Internacionales para los funcionarios, contratistas del Ministerio del Interior y funcionarios de la Policía Nacional que prestan sus servicios de protección y seguridad en el Ministerio del Interior.</t>
  </si>
  <si>
    <t>14111507; 43201803; 43211706; 43211708; 44101707; 44111506; 44111509; 44111510; 44111515; 44111905; 44111912; 44121503; 44121612;  44121613; 44121618; 44121619; 44121622; 44121626; 44121634;  44121701; 44121706; 44121707; 44121708; 44121716; 44121804; 44121904; 44121905; 44122010; 44122003; 44122011; 44122019; 44122027;  44122101; 44122104; 44122107</t>
  </si>
  <si>
    <t>GAPV Adquisición de los bienes de consumo necesarios para el correcto funcionamiento de las dependencias del Ministerio del Interior para la vigencia 2024</t>
  </si>
  <si>
    <t>GAPV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</si>
  <si>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43233501;81112102</t>
  </si>
  <si>
    <t>GAPV Adquisición de licenciamiento Microsoft Office 365, como plataforma de productividad y colaboración para el Ministerio del  en cumplimiento al anexo técnico dispuesto por la entidad.</t>
  </si>
  <si>
    <t>jarmando.serrano@mininterior.gov.co</t>
  </si>
  <si>
    <t>GAPV Adquisición de un sistema de infraestructura hiperconvergente (HCI), en cumplimiento de las especificaciones técnicas determinadas en el anexo dispuesto por la Entidad</t>
  </si>
  <si>
    <t>William Leonardo Cruz Mancipe</t>
  </si>
  <si>
    <t>william.cruz@mininterior.gov.co</t>
  </si>
  <si>
    <t xml:space="preserve">Incrementar la capacidad institucional de las alcaldías y gobernaciones mediante asistencias técnicas para garantizar la adecuada implementación de la política pública de víctimas y los lineamientos del gobierno nacional en el marco de la paz total. </t>
  </si>
  <si>
    <t>C-3703-1000-3</t>
  </si>
  <si>
    <t>GAPV Apoyar la implementación del mecanismo de corresponsabilidad con los diferentes niveles de Gobierno.</t>
  </si>
  <si>
    <t>GAPV Apoyar a las entidades territoriales en la planeación, gestión e implementación de la política de víctimas</t>
  </si>
  <si>
    <t>GAPV Brindar acompañamiento técnico al DAPRE para fortalecer las capacidades institucionales de las entidades territoriales para la atención de población migrante víctima del conflicto.</t>
  </si>
  <si>
    <t>GAPV Prestar asistencia técnica a entidades territoriales en la articulación de la política de víctimas y el Acuerdo de Paz.</t>
  </si>
  <si>
    <t xml:space="preserve">GAPV Generar espacios de concertación y articulación para la implementación de las iniciativas PDET-PATR focalizadas en conjunto con las entidades territoriales, esquemas asociativos territoriales en el marco de la estrategia de asociatividad territorial para la paz facilitando la ejecución de la PPV. </t>
  </si>
  <si>
    <t>GAPV Promover la gobernanza territorial propiciando condiciones habilitantes para la planeación, implementación y seguimiento de la política pública de víctimas y en situaciones que se requiera poder brindar atención para la subsistencia mínima de las víctimas.</t>
  </si>
  <si>
    <t>Mejorar la capacidad institucional de las alcaldías focalizadas a través de la implementación de Proyectos de Fortalecimiento Institucional</t>
  </si>
  <si>
    <t>GAPV Identificar las necesidades de fortalecimiento en las administraciones locales</t>
  </si>
  <si>
    <t>GAPV Formular los proyectos de fortalecimiento institucional en las administraciones priorizadas.</t>
  </si>
  <si>
    <t>GAPV Apoyar espacios de coordinación interinstitucional para la participación e implementación de iniciativas en conjunto con las entidades territoriales</t>
  </si>
  <si>
    <t>GAPV Implementar proyectos de fortalecimiento en los municipios priorizados</t>
  </si>
  <si>
    <t>GAPV Asistir e implementar  los proyectos de fortalecimiento institucional en las entidades territoriales.</t>
  </si>
  <si>
    <t>Garantizar la estabilidad e implementación de los sistemas de información para  fortalecer la cultura de paz y el seguimiento a la implementación de la política pública de víctimas a nivel territorial.</t>
  </si>
  <si>
    <t>GAPV Generar desarrollos tecnológicos</t>
  </si>
  <si>
    <t>GAPV Brindar soporte técnico a los usuarios de los sistemas de información de fortalecimiento de la cultura de paz y  seguimiento  territorial.</t>
  </si>
  <si>
    <t>GAPV Realizar seguimiento a la información reportada en los sistemas de información de fortalecimiento de la cultura de paz y  seguimiento  territorial.</t>
  </si>
  <si>
    <t>GAPV Disponer de almacenamiento para el funcionamiento de las herramientas de seguimiento a las entidades territoriales y fortalecimiento de la cultura de paz.</t>
  </si>
  <si>
    <t>GAPV Adquisición de equipos de cómputo y escáneres para el Ministerio del Interior</t>
  </si>
  <si>
    <t>GITEP</t>
  </si>
  <si>
    <t>Desarrollar lineamientos de competencia del Ministerio del Interior en  construcción de Paz</t>
  </si>
  <si>
    <t>C-3702-1000-15-600011-3702003-02</t>
  </si>
  <si>
    <t>GITEP:   Contratar los servicios profesionales y de apoyo  para realizar la debida ejecución y seguimiento al proyecto "MEJORAMIENTO DE LA EFECTIVIDAD DE LOS PROGRAMAS E INICIATIVAS DE CONSTRUCCIÓN DE PAZ LIDERADAS POR EL MINISTERIO DEL INTERIOR A NIVEL NACIONAL"</t>
  </si>
  <si>
    <t xml:space="preserve">Rodolfo Adán Vega </t>
  </si>
  <si>
    <t xml:space="preserve">rodolfo.vega@mininterior.gov.co </t>
  </si>
  <si>
    <t>C-3702-1000-15-600012-3702003-02</t>
  </si>
  <si>
    <t>C-3702-1000-15-600013-3702003-02</t>
  </si>
  <si>
    <t>C-3702-1000-15-600014-3702003-02</t>
  </si>
  <si>
    <t xml:space="preserve">Generar una cultura de paz en la cotidianidad de poblaciones y territorios, con enfoque territorial, étnico y de género. </t>
  </si>
  <si>
    <t>C-3702-1000-15-600011-3702023-02</t>
  </si>
  <si>
    <t>C-3702-1000-15-600012-3702023-02</t>
  </si>
  <si>
    <t>C-3702-1000-15-600013-3702023-02</t>
  </si>
  <si>
    <t>C-3702-1000-15-600014-3702023-02</t>
  </si>
  <si>
    <t>Gestionar la implementación  de iniciativas tendientes a la implementación de la Política de Paz Total.</t>
  </si>
  <si>
    <t>C-3702-1000-15-600011-3702021-02</t>
  </si>
  <si>
    <t>C-3702-1000-15-600012-3702021-02</t>
  </si>
  <si>
    <t>C-3702-1000-15-600013-3702021-02</t>
  </si>
  <si>
    <t>C-3702-1000-15-600014-3702021-02</t>
  </si>
  <si>
    <t>Articular con las  entidades del orden nacional y/o territorial e instancias de paz  para la  implementación de las acciones asociadas a la Política de Paz Total</t>
  </si>
  <si>
    <t>C-3702-1000-15-600011-3702002-02</t>
  </si>
  <si>
    <t>C-3702-1000-15-600011-3702012-02</t>
  </si>
  <si>
    <t>C-3702-1000-15-600011-3702022-02</t>
  </si>
  <si>
    <t>C-3702-1000-15-600012-3702002-02</t>
  </si>
  <si>
    <t>C-3702-1000-15-600012-3702012-02</t>
  </si>
  <si>
    <t>C-3702-1000-15-600012-3702022-02</t>
  </si>
  <si>
    <t>C-3702-1000-15-600013-3702002-02</t>
  </si>
  <si>
    <t>C-3702-1000-15-600013-3702012-02</t>
  </si>
  <si>
    <t>C-3702-1000-15-600013-3702022-02</t>
  </si>
  <si>
    <t>C-3702-1000-15-600014-3702002-02</t>
  </si>
  <si>
    <t>C-3702-1000-15-600014-3702012-02</t>
  </si>
  <si>
    <t>C-3702-1000-15-600014-3702022-02</t>
  </si>
  <si>
    <t>Apoyar la Implementación de los lineamientos étnicos y Planes de Acción Inmediata (PAI) relacionados con los procesos de paz.</t>
  </si>
  <si>
    <t>93121607;80101604;80141902;86101705;78111502;78111808</t>
  </si>
  <si>
    <t>GITEP:  Aunar esfuerzos entre el Ministerio del Interior y la Organización Internacional para las Migraciones para mejorar la efectividad en la implementación de los programas e iniciativas de construcción de paz lideradas por el Ministerio del Interior a nivel nacional en el marco del Plan Nacional de Desarrollo – “Colombia potencia mundial de la vida 2022-2026”</t>
  </si>
  <si>
    <t>C-3702-1000-15-600011-3702027-02</t>
  </si>
  <si>
    <t>C-3702-1000-15-600012-3702027-02</t>
  </si>
  <si>
    <t>C-3702-1000-15-600013-3702027-02</t>
  </si>
  <si>
    <t>C-3702-1000-15-600014-3702027-02</t>
  </si>
  <si>
    <t xml:space="preserve">Rodolfo Adan Vega </t>
  </si>
  <si>
    <t>93121607;80101604;80141902;86101705;78111502;78111808;80101705;93142103</t>
  </si>
  <si>
    <t>Carlos Leonardo Córdoba</t>
  </si>
  <si>
    <t>carlos.cordobam@mininterior.gov.co</t>
  </si>
  <si>
    <t>GITEP: Suministrar el transporte aéreo en vuelos nacionales e internacionales para los funcionarios, contratistas del ministerio y funcionarios de la policía nacional que prestan en servicio de protección y seguridad en el Ministerio del Interior.</t>
  </si>
  <si>
    <t>GITEP:Suministrar el transporte aéreo en vuelos nacionales e internacionales para los funcionarios, contratistas del ministerio y funcionarios de la policía nacional que prestan en servicio de protección y seguridad en el Ministerio del Interior.</t>
  </si>
  <si>
    <t>OAP</t>
  </si>
  <si>
    <t xml:space="preserve">Afianzar la gestión institucional como motor del cambio para mejorar la eficacia organizacional en el marco del Modelo Integrado de Planeación y Gestión del Ministerio del Interior.
</t>
  </si>
  <si>
    <t>C-3799-1000-16</t>
  </si>
  <si>
    <t>OAP Contratación de Servicios Profesionales, Asistenciales y Técnicos como apoyo a la gestión del Ministerio del Interior.</t>
  </si>
  <si>
    <t>Sergio Mauricio Arciniegas Roman</t>
  </si>
  <si>
    <t>sergio.arciniegas@mininterior.gov.co</t>
  </si>
  <si>
    <t xml:space="preserve">Afianzar la gestión institucional como motor del cambio para mejorar la eficacia organizacional en el marco del Modelo Integrado de Planeación y Gestión del Ministerio del Interior. 
</t>
  </si>
  <si>
    <t>OAP Capacitar y evaluar a funcionarios del Ministerio del Interior en Auditoría de Sistemas de Gestión (Norma ISO 19011), con enfoque en la ISO 9001:2015 en el marco del Modelo Integrado de Planeación y Gestión MIPG y el proyecto de inversión “Fortalecimiento del Sistema Integrado de Gestión del Ministerio del interior en el territorio nacional".</t>
  </si>
  <si>
    <t xml:space="preserve">Fortalecimiento de competencias y capacidades en programación y gestión presupuestal de las dependencias del Ministerio del Interior y entidades del sector. </t>
  </si>
  <si>
    <t>Fortalecimiento de competencias y capacidades en programación y gestión presupuestal de las dependencias del Ministerio del Interior y entidades del sector.</t>
  </si>
  <si>
    <t>Asegurar el seguimiento a los objetivos, metas y compromisos contemplados en los diferentes instrumentos de planeación sectorial e institucional con el fin de contribuir al impacto eficiente de la gestión de la entidad.</t>
  </si>
  <si>
    <t>Aplicar una estrategia integral para mejorar la implementación de la política de gestión del conocimiento y la innovación en el marco del MIPG del Ministerio del Interior, para la atención de los grupos de valor a nivel nacional</t>
  </si>
  <si>
    <t>C-3799-1000-19</t>
  </si>
  <si>
    <t>OAP Adquisición de equipos de cómputo y escáneres para el Ministerio del Interior</t>
  </si>
  <si>
    <t>56111501;52161505;56101703;56112104;56111513</t>
  </si>
  <si>
    <t xml:space="preserve">OAP  Adquisición de mobiliario y muebles para la adecuación del espacio para el centro de innovación para la paz de la Oficina Asesora de Planeación. </t>
  </si>
  <si>
    <t>OAP Adquisición de los bienes de consumo necesarios para el correcto funcionamiento de las dependencias del Ministerio del Interior para la vigencia 2024</t>
  </si>
  <si>
    <t>OAP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</si>
  <si>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43233701; 43232701;43232304; 43232401;43233004; 43233201;43232304; 43232404;43231512; 81111801;81112202; 81112501;81111901; 81112001</t>
  </si>
  <si>
    <t>OIP-Renovación y adquisición de licenciamiento para la Entidad de acuerdo con las especificaciones técnicas señaladas por el Ministerio del Interior</t>
  </si>
  <si>
    <t xml:space="preserve">carlos.prada@mininterior.gov.co	
</t>
  </si>
  <si>
    <t>OIP</t>
  </si>
  <si>
    <t>Implementar soluciones tecnológicas innovadoras que den respuesta a las necesidades de la misionalidad de la entidad, promoviendo la estrategia de transformación digital en el marco de la política de Gobierno Digital</t>
  </si>
  <si>
    <t>C-3799-1000-17</t>
  </si>
  <si>
    <t>OIP. Prestar servicios para apoyar al Grupo de Sistemas para administrar, brindar soporte y mantener adecuadamente desde lo técnico, los sistemas de información, portales web y las bases de datos institucionales, para brindar permanentemente los servicios a los usuarios internos y externos</t>
  </si>
  <si>
    <t>Gestionar los recursos tecnológicos del Ministerio para el soporte de los procesos, garantizando la integridad, disponibilidad y confidencialidad de la Información de la entidad.</t>
  </si>
  <si>
    <t>43233205;43211501;81112208;81112006;43201835;43233200;43222500;43222600;81112300;81111800;81111500;81112200;80111600;81111811;81112200;43233200;81102702</t>
  </si>
  <si>
    <t>OIP. Contratar la prestación de servicios tecnológicos integrales para el Ministerio del Interior en cumplimiento al anexo técnico dispuesto por la entidad.</t>
  </si>
  <si>
    <t>43233200;43222500;43222600</t>
  </si>
  <si>
    <t>OIP. Renovación de licenciamiento y soporte de fábrica para los firewall nueva generación del ministerio del interior en cumplimiento al anexo técnico dispuesto por la entidad.</t>
  </si>
  <si>
    <t>43222600;43221700;43222628;43223300</t>
  </si>
  <si>
    <t>OIP. Renovación de licenciamiento de puntos de acceso inalámbricos para interiores - WIFI</t>
  </si>
  <si>
    <t>OIP. Renovación y adquisición de licenciamiento para la Entidad de acuerdo con las especificaciones técnicas señaladas por el Ministerio del Interior</t>
  </si>
  <si>
    <t>OIP. Adquisición de licenciamiento Microsoft Office 365, como plataforma de productividad y colaboración para el Ministerio del  en cumplimiento al anexo técnico dispuesto por la entidad.</t>
  </si>
  <si>
    <t>80101506;80101507;81111500</t>
  </si>
  <si>
    <t>OIP. Prestar servicios para el diagnóstico y diseño de la arquitectura empresarial del Ministerio del Interior  y el desarrollo de un sistema de automatización y seguimiento de esta.</t>
  </si>
  <si>
    <t>CCE-20</t>
  </si>
  <si>
    <t>Concurso de méritos abierto</t>
  </si>
  <si>
    <t>81112209;80111600</t>
  </si>
  <si>
    <t>OIP. Prestar servicios para implementar las buenas prácticas en el desarrollo, adquisición y/o alquiler de software en el Ministerio del Interior  en cumplimiento al anexo técnico dispuesto por la entidad.</t>
  </si>
  <si>
    <t>Gestionar la Comunicación Institucional, garantizando el adecuado flujo de información interna y externa de la entidad; así como el cubrimiento periodístico de la gestión del Ministerio y su relacionamiento con la prensa</t>
  </si>
  <si>
    <t>C-3799-1000-20</t>
  </si>
  <si>
    <t xml:space="preserve">OIP. Prestar servicios para apoyar al Grupo de Comunicaciones en la desarrollo, diseño y ejecución de estrategias de comunicación internas y externas, así como la implementación de los estándares para la gestión de la comunicación institucional. </t>
  </si>
  <si>
    <t>OIP  Adquisición de equipos de cómputo y escáneres para el Ministerio del Interior</t>
  </si>
  <si>
    <t>82111903;82111901;82111902</t>
  </si>
  <si>
    <t>OIP. Prestar el servicio de monitoreo y análisis de noticias y redes sociales en tiempo real delos diferentes medios de comunicación nacionales,regionales y locales (radio,prensa, televisión,
revistas, redes sociales y portales de internet),
reportando y emitiendo alertas en tiempo real sobre
la información de noticias y eventos relacionados
con la misión del Ministerio delInterior, sus voceros y entidades adscritas</t>
  </si>
  <si>
    <t>Fortalecer el relacionamiento entre el Ministerio del Interior y los grupos de interés a través de los diferentes canales de atención para que los ciudadanos puedan acceder a la Oferta Institucional de forma oportuna</t>
  </si>
  <si>
    <t>C-3799-1000-15</t>
  </si>
  <si>
    <t>OIP. Prestar servicios para apoyar al Grupo de Servicio al Ciudadano en la atención efectiva a los ciudadanos, a través de los canales de atención dispuestos, de coordinar acciones para la presentación de oferta institucional y hacer seguimiento a las dependencias para que respondan oportunamente las peticiones, quejas, reclamos, sugerencias y denuncias de los ciudadanos.</t>
  </si>
  <si>
    <t>OIP.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</si>
  <si>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43231512;43232201;43232303;43231511;43232306</t>
  </si>
  <si>
    <t>OIP. Adquisición de licencia de software para la implementación de Chatbot a medida, para el fortalecimiento de la política de servicio al ciudadano, mejorando la comunicación con el usuario y grupos de valor del Ministerio del Interior.</t>
  </si>
  <si>
    <t>A-02-02-01-004-007</t>
  </si>
  <si>
    <t>OIP. Renovación del servicio de actualización de versiones y soporte técnico denominado SOFTWARE UPDATE LICENCE &amp; SUPPORT", para los productos ORACLE ya licenciados por el Ministerio del Interior.</t>
  </si>
  <si>
    <t>81111801;81112100</t>
  </si>
  <si>
    <t>OIP. Apalancamiento Vigencias futuras Servicios de acceso a internet y transmisión de datos entre las sedes a través de enlaces locales dedicados para el Ministerio del Interior</t>
  </si>
  <si>
    <t>OIP. Apalancamiento vigencias futuras Servicios de centro de datos y colocación para las plataforma LAN y Web del Ministerio del Interior.</t>
  </si>
  <si>
    <t>OIP. Prestar los servicios de mantenimiento y soporte a distancia y bolsa de horas de consultoría del sistema de información de recursos humanos KACTUS-HCM- para el Ministerio del Interior en cumplimiento al anexo técnico dispuesto por la entidad.</t>
  </si>
  <si>
    <t>OIP. Prestar los servicios de Mantenimiento a Distancia del Sistema de Información Administrativo y Financiero PCT-ENTERPRISE .NET, para el Ministerio del Interior en la vigencia 2024 en cumplimiento al anexo técnico dispuesto por la entidad.</t>
  </si>
  <si>
    <t xml:space="preserve">OIP. La prestación de servicios de acceso a internet y trasmisión de datos entre sedes a través de enlaces locales dedicados para el Ministerio del Interior </t>
  </si>
  <si>
    <t>OIP. contratar la prestación del servicio de nube privada (collocation), para las plataformas lan y web propiedad del ministerio del interior, de acuerdo a las especificaciones técnicas solicitadas</t>
  </si>
  <si>
    <t>39121011;39121004;72151514;73152108</t>
  </si>
  <si>
    <t>OIP. Mantenimiento preventivo de las UPS's, suministro e instalación de dos (2) bancos de baterías y bolsa de repuestos básicos para el Ministerio del Interior.</t>
  </si>
  <si>
    <t>A-02-02-02-006-004</t>
  </si>
  <si>
    <t>OIP Suministrar el transporte aéreo en vuelos Nacionales e Internacionales para los funcionarios, contratistas del Ministerio del Interior y funcionarios de la Policía Nacional que prestan sus servicios de protección y seguridad en el Ministerio del Interior.</t>
  </si>
  <si>
    <t>43233205;43211501;81112208;81112006;43201835</t>
  </si>
  <si>
    <t>OIP. Renovación  Licenciamiento de software antivirus para el Ministerio del Interior</t>
  </si>
  <si>
    <t>72151200;72151207;72101511</t>
  </si>
  <si>
    <t>OIP. Mantenimiento de los aires acondicionados del Ministerio del Interior.</t>
  </si>
  <si>
    <t>81111801;43222503</t>
  </si>
  <si>
    <t>OIP.Adquisición, configuración, soporte técnico e  implementación de una solución de Control de Acceso a la Red (NAC) sobre la infraestructura LAN y WLAN del Ministerio del Interior</t>
  </si>
  <si>
    <t>43233203,43233205,81111801,43222503</t>
  </si>
  <si>
    <t>OIP. Adquisición e implementación de software para la evaluación de vulnerabilidades de infraestructura tecnológica del Ministerio del Interior.</t>
  </si>
  <si>
    <t>43191600;43211501;81112205;81112200;81111500;43233500;81111700</t>
  </si>
  <si>
    <t>OIP. Renovación, actualización y soporte del Digiturno como herramienta de solución tecnológica integral para la atención a los ciudadanos en el canal presencial ya licenciados por el Ministerio del Interior.</t>
  </si>
  <si>
    <t>CC3-05</t>
  </si>
  <si>
    <t>Contratación directa (con ofertas)</t>
  </si>
  <si>
    <t>OIP: Contratar la prestación de servicios de enlaces dedicados e internet, para las diferentes sedes del Ministerio del Interior</t>
  </si>
  <si>
    <t>SAF</t>
  </si>
  <si>
    <t>Garantizar la conservación, archivo y disponibilidad de los documentos generados para evidenciar el cumplimiento de la gestión del Ministerio del Interior, fortaleciendo el sistema de gestión documental</t>
  </si>
  <si>
    <t>C-3799-1000-12</t>
  </si>
  <si>
    <t xml:space="preserve">SAF: Contratación de Servicios Profesionales, Asistenciales y Técnicos como apoyo a la gestión del Grupo de Conservación Documental. </t>
  </si>
  <si>
    <t>Hermes Arturo Pérez Gasca</t>
  </si>
  <si>
    <t>hermes.perez@mininterior.gov.co</t>
  </si>
  <si>
    <t>56121005;56101701;24102004;56101713;56111701;56101703</t>
  </si>
  <si>
    <t>SAF: Adquisición e instalación de estantería metálica para el Archivo central del Ministerio del Interior</t>
  </si>
  <si>
    <t>SAF: Prestar los servicios de soporte, actualización, mantenimiento y desarrollo, según solicitud de la entidad, para la solución del Sistema de Gestión de Documentos Electrónicos de Archivo (SGDEA) Control Doc.</t>
  </si>
  <si>
    <t>43211503:43211507;43211711</t>
  </si>
  <si>
    <t>SAF: Adquisición de equipos de computo y escaneres para el Ministerio del Interior</t>
  </si>
  <si>
    <t>78131602;44111515;76111501;80161506</t>
  </si>
  <si>
    <t>SAF: Prestar los servicios archivísticos en la organización técnica de archivo, limpieza y desinfección de espacios destinados para los archivos  del Ministerio del Interior conforme  a la normatividad  vigente</t>
  </si>
  <si>
    <t>31162800;39121700</t>
  </si>
  <si>
    <t>SAF: Adquisición de elementos de ferretería eléctricos, hidráulicos, sanitarios y herramientas para el mantenimiento preventivo, correctivo y/o adecuaciones que contribuya en la atención oportuna de las reparaciones locativas de las sedes del Ministerio del Interior</t>
  </si>
  <si>
    <t>Identificar  y gestionar las necesidades administrativas que se requieran, según los planes, programas, proyectos, políticas y procesos, en el marco del MIPG, para garantizar el  buen funcionamiento  de las diferentes dependencias del Ministerio del Interior en cumplimiento de su misión institucional</t>
  </si>
  <si>
    <t>A-02-02-01-001-005</t>
  </si>
  <si>
    <t>A-02-02-01-003-005</t>
  </si>
  <si>
    <t>A-02-02-01-003-006</t>
  </si>
  <si>
    <t>A-02-02-01-003-007</t>
  </si>
  <si>
    <t>A-02-02-01-004-002</t>
  </si>
  <si>
    <t>A-02-02-01-004-006</t>
  </si>
  <si>
    <t>SAF: Adquisicion de bienes de consumo necesarios para el correcto funcionamiento de las dependencias del Ministerio del Interior para la vigencia 2024</t>
  </si>
  <si>
    <t>SAF: EN EJECUCION - Contrato 2679/23 OC120049 / AMP N° CCE-326-AMP-2022 suministro de combustible (gasolina corriente, gasolina extra y ACPM/Diésel) para los diferentes vehículos que conforman el parque automotor activo del Ministerio del Interior y los que le sean asignados por necesidades del servicio.</t>
  </si>
  <si>
    <t>SAF: Suministro de combustible (gasolina corriente, gasolina extra y ACPM/Diésel) para los diferentes vehículos que conforman el parque automotor activo del Ministerio del Interior y los que le sean asignados por necesidades del servicio.</t>
  </si>
  <si>
    <t>80141630;78181701;43223210</t>
  </si>
  <si>
    <t>SAF: Suministro de vales de combustible para el abastecimiento de Gasolina y ACPM a los vehículos que conforman el parque automotor del Ministerio del Interior</t>
  </si>
  <si>
    <t>46191601;72101509</t>
  </si>
  <si>
    <t>SAF: Contratar el servicio de mantenimiento, recarga de extintores y adquirir extintores para el Ministerio del Interior</t>
  </si>
  <si>
    <t>esperanza.morenoa@mininterior.gov.co</t>
  </si>
  <si>
    <t>A-02-02-01-004-003</t>
  </si>
  <si>
    <t>43211502;43211503:43211507;43211711</t>
  </si>
  <si>
    <t>SAF:  EN EJECUCION - Contrato Interadministrativo 465/2023  Servicio de admisión, curso y entrega de correspondencia en las modalidades de correo certificado y correo certificado internacional</t>
  </si>
  <si>
    <t>Carmen Lancheros</t>
  </si>
  <si>
    <t>carmen.lancheros@mininterior.gov.co</t>
  </si>
  <si>
    <t>SAF: Servicio de admisión, curso y entrega de correspondencia en las modalidades de correo certificado nacional y correo certificado internacional</t>
  </si>
  <si>
    <t>44103100;44103103;44103105;44103116;44103125</t>
  </si>
  <si>
    <t>SAF: Adquisicion de consumibles de impresión para el Ministerio del Interior</t>
  </si>
  <si>
    <t>SAF: Contratar los seguros que garanticen y amparen la responsabilidad civil de Servidores Públicos y la protección de los activos e intereses patrimoniales actuales y futuros, bienes propios, o bienes que estén bajo su responsabilidad y custodia y aquellos que sean adquiridos en un futuro, así como cualquier otro seguro que se requiera para desarrollar las funciones inherentes a su actividad y objetivos.</t>
  </si>
  <si>
    <t>32101617;43233201</t>
  </si>
  <si>
    <t>SAF: Adquirir certificados digitales almacenados en token para el Ministerio del Interior</t>
  </si>
  <si>
    <t>Helmut Hernández</t>
  </si>
  <si>
    <t>helmut.hernandez@mininterior.gov.co</t>
  </si>
  <si>
    <t>SAF:  EN EJECUCION -  Contrato 2701-2023 / Servicio de radio frecuencia en UHF para los radios de comunicación que hacen parte de los bienes que conforman el esquema de seguridad de la Ministra del Interior, para el cubrimiento de las comunicaciones en la ciudad de Bogotá y la Sabana de Bogotá</t>
  </si>
  <si>
    <t>SAF: Prestar el servicio de radio frecuencia en UHF para los radios de comunicación que hacen parte de los bienes que conforman el esquema de seguridad del Señor Ministro del Interior, para el cubrimiento de las comunicaciones en la ciudad de Bogotá y toda la sabana de Bogotá</t>
  </si>
  <si>
    <t>SAF:  EN EJECUCION - Contrato 2139 de 2022 -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</si>
  <si>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Servicio integral de vigilancia y seguridad privada con armas y sin arma, con medio humano, con la utilización de medios tecnológicos incluyendo supervisión del servicio, especialmente en los sitios que se describen dentro de la minuta con destino al Ministerio del Interior, de conformidad con el procedimiento establecido en el Reglamento de Funcionamiento y operación de la Bolsa para el Mercado de Compras Públicas.</t>
  </si>
  <si>
    <t>SAF:  EN EJECUCION - Contrato 1666 - OC112370 de 2023 - Servicio de Aseo y Cafetería, en las sedes donde funcionan las diferentes dependencias del Ministerio del Interior, conforme a los requerimientos técnicos solicitados por el Ministerio del Interior, a través del Acuerdo Marco de Precios CCE-126-2023.</t>
  </si>
  <si>
    <t>SAF: Contratar el Servicio Integral de Aseo y Cafetería, para las diferentes sedes donde funcionan las dependencias del Ministerio del Interior.</t>
  </si>
  <si>
    <t>72154302;73152108</t>
  </si>
  <si>
    <t>SAF:  EN EJECUCION - Contrato 2699 de 2023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</si>
  <si>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SAF: Prestación del servicio de mantenimiento preventivo y correctivo para las plantas eléctricas Power Link C6/6 de 156 KVA instalada en el Edificio Bancol piso 4 y Lovol de 75KVA instalada en la sede de la Casa de la Giralda y sus equipos asociados de propiedad del Ministerio del Interior</t>
  </si>
  <si>
    <t>43222825;43221501;81161707;81161708;81161709;72103302</t>
  </si>
  <si>
    <t xml:space="preserve">SAF: Soporte  de la solución de comunicación telefónica instalada y de propiedad del Ministerio del Interior. </t>
  </si>
  <si>
    <t>SAF: Prestar el servicio de mantenimiento incluyendo repuestos al ascensor privado marca OTIS Nº 211358 del Ministerio del Interior, ubicado en el inmueble de la Calle 12 B No. 8 – 38, Sede Camargo</t>
  </si>
  <si>
    <t xml:space="preserve">SAF:  EN EJECUCION - Contrato 2693 de 2023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 </t>
  </si>
  <si>
    <t>SAF: Servicio de mantenimiento preventivo y correctivo, incluidas autopartes y mano de obra, para los vehículos que conforman el parque automotor del Ministerio del Interior no convencionales y/o marcas que no hacen parte del catálogo del Acuerdo Marco de Precios de Colombia Compra Eficiente.</t>
  </si>
  <si>
    <t>SAF:  EN EJECUCION - Orden de Compra 121450 de 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</si>
  <si>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121451 - MOTOMUNDIAL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</si>
  <si>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122381 - C2730/2023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</si>
  <si>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122382 -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</si>
  <si>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122383 C2733/2023 -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</si>
  <si>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122384 C2731/2023 - AUTOCARS INGENIERIA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</si>
  <si>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123316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</si>
  <si>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123317 /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</si>
  <si>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EN EJECUCION - Orden de Compra 123527 /MORARCI GROUP SAS :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</si>
  <si>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SAF: Contratar el servicio integral de aseo y cafetería, para las diferentes sedes donde funcionan las dependencias del Ministerio del Interior</t>
  </si>
  <si>
    <t>SAF: Adquisición del Servicio de Mantenimiento Preventivo y Correctivo incluidas Autopartes y Mano de Obra para los vehículos convencionales que conforman el parque automotor del Ministerio del Interior, conforme a los requerimientos técnicos solicitados por el Ministerio del Interior</t>
  </si>
  <si>
    <t>A-02-02-02-007-003</t>
  </si>
  <si>
    <t>SAF:  Servicio de outsourcing de fotocopiado y escaneo(digitalización) para las dependencias del Ministerio del Interior</t>
  </si>
  <si>
    <t xml:space="preserve">A-02-02-01-003-005 </t>
  </si>
  <si>
    <t>SAF: Adquisición de consumibles de impresión para el Ministerio del Interior</t>
  </si>
  <si>
    <t>A-03-03-01-53</t>
  </si>
  <si>
    <t>92121801;92121500</t>
  </si>
  <si>
    <t xml:space="preserve">SAF:   EN EJECUCION - Convenio Interadministrtivo 2752 -UNP:  Aunar esfuerzos, recursos, tecnología, capacidades y métodos, entre la UNP y el MI que permitan ejercer la adecuada protección del Ministro(a) del Interior quien en razón a su cargo y funciones tiene un mayor riesgo para su vida e integridad física. </t>
  </si>
  <si>
    <t xml:space="preserve">SAF: Aunar esfuerzos, recursos, tecnología, capacidades y métodos, entre la UNP y el MI que permitan ejercer la adecuada protección del Ministro(a) del Interior quien en razón a su cargo y funciones tiene un mayor riesgo para su vida e integridad física. </t>
  </si>
  <si>
    <t>N/A</t>
  </si>
  <si>
    <t>76111600;76122306;76122307;76122309;76122311</t>
  </si>
  <si>
    <t>SAF: Realizar la separación, clasificación, recolección y entrega de los residuos sólidos aprovechables de carácter no peligroso, generados en las sedes donde funciona el Ministerio del Interior”.</t>
  </si>
  <si>
    <t>CCE-11||03</t>
  </si>
  <si>
    <t>Contratación régimen especial - Régimen especial</t>
  </si>
  <si>
    <t>SAF:Adecuación, adquisición e instalación de mobiliario para el archivo central y correspondencia del Ministerio del Interior.</t>
  </si>
  <si>
    <t xml:space="preserve">Hermes Arturo Perez Gasca </t>
  </si>
  <si>
    <t>SG</t>
  </si>
  <si>
    <t>SG Contratación de Servicios Profesionales, Asistenciales y Técnicos como apoyo a la gestión del Ministerio del Interior.</t>
  </si>
  <si>
    <t>Yamel Ruiz</t>
  </si>
  <si>
    <t>yamel.ruiz@mininterior.gov.co</t>
  </si>
  <si>
    <t>SGGT</t>
  </si>
  <si>
    <t>Fortalecimiento de las capacidades de las entidades, cooperantes y ciudadanía en general para prevenir, proteger y asistir a las víctimas del delito de trata de personas.</t>
  </si>
  <si>
    <t xml:space="preserve">A-03-03-01-039 </t>
  </si>
  <si>
    <t>SGGT Contratación de Servicios Profesionales, Asistenciales y Técnicos como apoyo a la gestión del Ministerio del Interior.</t>
  </si>
  <si>
    <t>Olga Lucia Salazar Sarmiento</t>
  </si>
  <si>
    <t>olga.salazar@mininterior.gov.co</t>
  </si>
  <si>
    <t>SGGT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</si>
  <si>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SGGT Suministrar el transporte aéreo en vuelos Nacionales e Internacionales para los funcionarios, contratistas del Ministerio del Interior y funcionarios de la Policía Nacional que prestan sus servicios de protección y seguridad en el Ministerio del Interior.</t>
  </si>
  <si>
    <t>A-03-03-01-033</t>
  </si>
  <si>
    <t>93141501;93141506;93141600;94132000;93131501;93131502</t>
  </si>
  <si>
    <t>SGGT Aunar esfuerzos técnicos, administrativos y financieros para brindar una atención integral, oportuna e inmediata a las víctimas del delito de trata de personas y desarrollar acciones de fortalecimiento de capacidades institucionales en el territorio colombiano en el marco de la Estrategia Nacional para la Lucha contra la Trata de Personas.</t>
  </si>
  <si>
    <t>Consolidar instrumentos de la Política Pública de Lucha Contra la Trata de Personas, para una vida libre de violencia.</t>
  </si>
  <si>
    <t>A-03-03-01-039</t>
  </si>
  <si>
    <t>43232402;43232403;43232405;43192500;43231501;43231512</t>
  </si>
  <si>
    <t>SGGT Aunar esfuerzos administrativos, técnicos, tecnológicos y financieros para potenciar la transformación y cultura digital en los procesos misionales de la Subdirección de gobierno, gestión territorial y lucha contra la trata.</t>
  </si>
  <si>
    <t>93121600;93141501;93141506;93141600;94132000;93131501;93131502</t>
  </si>
  <si>
    <t>SGGT 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</si>
  <si>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Fortalecer los mecanismos de prevención, protección y asistencia para la lucha contra la trata de personas, en el marco de la defensa de la dignidad humana.</t>
  </si>
  <si>
    <t>SGGT Contratación de servicios profesionales, asistenciales y técnicos como apoyo a la gestión del Ministerio del Interior.</t>
  </si>
  <si>
    <t>Mejorar las acciones de divulgación en prevención, protección y  asistencia en la lucha contra el delito de trata de personas a nivel nacional.</t>
  </si>
  <si>
    <t>C-3702-1000-17</t>
  </si>
  <si>
    <t>SGGTAunar esfuerzos administrativos, técnicos, tecnológicos y financieros para desarrollar e implementar acciones de prevención a población vulnerable; y asistencia y protección a las víctimas en el marco de la Estrategia Nacional para la Lucha Contra la Trata de Personas 2020-2024.</t>
  </si>
  <si>
    <t>Apoyar la articulación institucional e interinstitucional en la prevención, protección y asistencia en la lucha contra el delito de trata de personas a nivel nacional.</t>
  </si>
  <si>
    <t>SGGT Aunar esfuerzos administrativos, técnicos y financieros para el diseño e implementación de acciones de prevención contra el delito de trata de personas bajo los lineamientos de la Estrategia Nacional para la Lucha Contra la Trata de Personas.</t>
  </si>
  <si>
    <t>Fortalecer la capacidad institucional en la prevención, protección y asistencia en la lucha contra el delito de trata de personas a nivel nacional.</t>
  </si>
  <si>
    <t>Consolidar la gobernanza y la gestión territorial como instrumentos para la paz total.</t>
  </si>
  <si>
    <t>John alexander Sabogal Rios</t>
  </si>
  <si>
    <t>john.sabogal@mininterior.gov.co</t>
  </si>
  <si>
    <t>SGGT Adquisición de consumibles de impresión para el Ministerio del Interior</t>
  </si>
  <si>
    <t>SGGT Adquisición de licenciamiento Microsoft Office 365, como Plataforma de Productividad y Colaboración para el Ministerio del Interior y la Dirección de la Autoridad Nacional de Consulta Previa</t>
  </si>
  <si>
    <t>SGGT Adquisición de equipos de cómputo y escáneres para el Ministerio del Interior</t>
  </si>
  <si>
    <t>SGGT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</si>
  <si>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93141500;93101500;93141600</t>
  </si>
  <si>
    <t>SGGT Aunar esfuerzos técnicos, administrativos y financieros para la formulación y ejecución de proyectos comunales en articulación con los actores democráticos para el fortalecimiento del ordenamiento y gobernanza territorial.</t>
  </si>
  <si>
    <t>86141600;86101700;86101705</t>
  </si>
  <si>
    <t>SGGT Elaborar, actualizar y/o revisar la estructura administrativa, procesos e instrumentos de gestión de las Entidades Territoriales y corporaciones publicas de elección popular para contribuir en la modernización de la gestión publica.</t>
  </si>
  <si>
    <t>Formular, actualizar y realizar seguimiento al marco normativo y lineamientos en materia de gobernanza y ordenamiento territorial.</t>
  </si>
  <si>
    <t>Diseñar e implementar una estrategia para el ordenamiento territorial diferencial para la convergencia regional.</t>
  </si>
  <si>
    <t>Sonia Shirley Bernal Sánchez</t>
  </si>
  <si>
    <t>sonia.bernal@mininterior.gov.co</t>
  </si>
  <si>
    <t>Fortalecer el ordenamiento y la gobernanza territorial a través de la asociatividad para la paz.</t>
  </si>
  <si>
    <t>Mejorar la articulación del ordenamiento territorial en competencias institucionales (orgánico) con enfoque alrededor del agua.</t>
  </si>
  <si>
    <t>C-3702-1000-18</t>
  </si>
  <si>
    <t>86132000;86111500</t>
  </si>
  <si>
    <t xml:space="preserve">SGGT Desarrollar e implementar un programa de transferencia de conocimiento sobre el ordenamiento y gestión territorial mediante creación contenidos digitales que contribuyan al cierre de brechas y potencialice la gobernanza en Colombia.
</t>
  </si>
  <si>
    <t>Desarrollar Herramientas tecnológicas encaminadas a la transferencia del conocimiento a las entidades territoriales, corporaciones públicas y líderes locales.</t>
  </si>
  <si>
    <t>Fortalecer el conocimiento de las autoridades territoriales y líderes locales en descentralización y ordenamiento territorial alrededor del agua.</t>
  </si>
  <si>
    <t>Fortalecer los esquemas asociativos en el marco de la consolidación de la Paz.</t>
  </si>
  <si>
    <t>80101600;93101500;93151500</t>
  </si>
  <si>
    <t xml:space="preserve">SGGT Fortalecer los Esquemas Asociativos Territoriales mediante el desarrollo e implementación de proyectos de ordenamiento y gobernanza territorial; y el diseño de instrumentos de planificación de ordenamiento regional para la convergencia regional.
</t>
  </si>
  <si>
    <t>SGGT Adquisición de un sistema de infraestructura hiperconvergente (HCI), en cumplimiento de las especificaciones técnicas determinadas en el anexo dispuesto por la Entidad</t>
  </si>
  <si>
    <t>CCE-11-01</t>
  </si>
  <si>
    <t>Contratacion Regimen especial - Selección de comisionista</t>
  </si>
  <si>
    <t>SGGT Pautar y divulgar en los diferentes medios masivos de comunicación, incluidos los medios digitales alternativos, en exteriores y nuevos medios (multiplataforma) de orden nacional, regional, local y comunitario, los planes, programas, proyectos y oferta institucional del Ministerio del Interior como plataforma y herramienta estratégica.</t>
  </si>
  <si>
    <t>9314151;9314159;93141510;8610175</t>
  </si>
  <si>
    <t>SGGT Aunar esfuerzo técnicos, administrativos y financieros para desarrollar actividades e iniciativas en torno a la gobernanza territorial, la modernización de la gestión pública territorial y trasferencia de conocimiento con el fin de fortalecer las entidades territoriales, los esquemas asociativos y actores de la sociedad civil.”</t>
  </si>
  <si>
    <t xml:space="preserve">A-03-03-01-033 </t>
  </si>
  <si>
    <t>SGGT Aunar esfuerzos técnicos, administrativos y financieros para brindar una atención integral, oportuna e inmediata a las víctimas del delito de trata de personas en el marco de la Estrategia Nacional para la Lucha contra la Trata de Personas.</t>
  </si>
  <si>
    <t>93121600,93141501,93141506,93141600,94132000,93131501,93131502</t>
  </si>
  <si>
    <t>43232402;43232403;43232405;43231501;43231512</t>
  </si>
  <si>
    <t>SGGT Prestar servicios al Ministerio del Interior de producción, diseño, impresos y divulgación de la Estrategia Nacional de Atención y Prevención Contra la Trata de Personas</t>
  </si>
  <si>
    <t>Contratación directa,</t>
  </si>
  <si>
    <t>SGH</t>
  </si>
  <si>
    <t>Dar cumplimiento oportuno a la entrega de dotación de vestuario y calzado de labor.</t>
  </si>
  <si>
    <t>A-02-02-01-002-08</t>
  </si>
  <si>
    <t>SGH Contratar la adquisicion a traves de bonos redimibles el suministro de dotaciones de calzado y vestidos de labor para los empleados publicos que tiene derecho en el Ministerio del Interior, de conformidad con las especificaciones tecnicas requeridas.</t>
  </si>
  <si>
    <t>Luz Dary Velásquez Romero</t>
  </si>
  <si>
    <t>luz.velasquez@mininterior.gov.co</t>
  </si>
  <si>
    <t>SGH  Adquirir dotación de vestuario de labor para caballero  para los funcionarios del Ministerio del Interior, conforme a lo indicado en el acuerdo marco durante la vigencia 2023, en cumplimiento de la Ley 70 de 1988 y el Decreto 1978 de 1989.</t>
  </si>
  <si>
    <t>Implementar las acciones generadas para la ejecución del 100% de los planes y programas de gestión humana en el marco de MIPG</t>
  </si>
  <si>
    <t xml:space="preserve">A-02-02-02-009-003 </t>
  </si>
  <si>
    <t>SGH Realización de Exámenes Médicos Ocupacionales Periódicos, Exámenes Médicos de Ingreso y Exámenes Médicos de Retiro, para los funcionarios del Ministerio del Interior para el año 2024, de acuerdo al profesiograma de la entidad</t>
  </si>
  <si>
    <t>Carolina del Pilar Prada Granados</t>
  </si>
  <si>
    <t>carolina.prada@mininterior.gov.co</t>
  </si>
  <si>
    <t>SGH Realizar la intervención a los colaboradores del Ministerio del Interior, a partir de los resultados obtenidos de la aplicación de la batería de riesgo psicosocial, en cumplimiento a la normativa vigente, por medio de los conceptos y prácticas asociadas a la metodología de Great Place to Work (Giftwork)</t>
  </si>
  <si>
    <t>SGH Adquirir elementos, insumos para la dotación de botiquines de las sedes del Ministerio</t>
  </si>
  <si>
    <t>SGH Adquirir elementos de oficina para confort ergonomico para los colaboradores del Ministerio del Interior.</t>
  </si>
  <si>
    <t>SGH Prestar el servicio para realizar la Auditoría externa de seguimiento anual, a la certificación otorgada en el año 2022,   por el INSTITUTO COLOMBIANO DE NORMAS TECNICAS Y CERTIFICACION - ICONTEC al MINISTERIO DEL INTERIOR bajo la norma ISO 45001:2018</t>
  </si>
  <si>
    <t>SGH Realizar mantenimiento de los Desfibriladores Externos Automaticos propiedad de la entidad para la atencion de emergencia</t>
  </si>
  <si>
    <t>SGH Realizar aplicación de batería para la evaluación de riesgo psicosocial laboral para los colaboradores del ministerio del interior durante la vigencia 2024 en cumplimiento de la normatividad vigente.</t>
  </si>
  <si>
    <t>A-02-02-02-009-002</t>
  </si>
  <si>
    <t>SGH Ejecución Programa de Aprendizaje Individual</t>
  </si>
  <si>
    <t>Astrid Elena Sandoval Perez</t>
  </si>
  <si>
    <t>astrid.sandoval@mininterior.gov.co</t>
  </si>
  <si>
    <t xml:space="preserve">SGH Suscribir contrato para la Ejecución de los Programas de Capacitación, dirigidos a los funcionarios del Ministerio del Interior </t>
  </si>
  <si>
    <t>A-02-02-02-009-006</t>
  </si>
  <si>
    <t>SGH Apoyo en la ejecución de las actividades del Programa de Bienestar Social de la vigencia 2024, para los servidores públicos del Ministerio del Interior</t>
  </si>
  <si>
    <t>Fortalecer al Ministerio en la gestión oportuna de comisiones de servicio y autorización de desplazamiento  para asegurar la presencia institucional en territorio</t>
  </si>
  <si>
    <t>SGH Suministrar el transporte aéreo en vuelos Nacionales e Internacionales para los funcionarios, contratistas del Ministerio del Interior y funcionarios de la Policía Nacional que prestan sus servicios de protección y seguridad en el Ministerio del Interior.</t>
  </si>
  <si>
    <t>SGH Adquirir sillas ergonómicas para los colaboradores del Ministerio del Interior con condiciones de salud musculo/esqueléticas.</t>
  </si>
  <si>
    <t>SPSCC</t>
  </si>
  <si>
    <t>Fortalecer las Entidades Territoriales con nuevas obras de infraestructura y movilidad ejecutadas para la convivencia y la seguridad ciudadana</t>
  </si>
  <si>
    <t>A-03-03-01-032</t>
  </si>
  <si>
    <t>81101513;80101600</t>
  </si>
  <si>
    <t>SPSCC CONV 1313-23 FONSECON REALIZAR ACCIONES, ACTIVIDADES Y COMPROMISOS CONJUNTOS, TENDIENTES A LA CONSTRUCCIÓN DE UN CENTRO ADMINISTRATIVO MUNICIPAL, POR PARTE DEL ENTE TERRITORIAL ARGELIA - CAUCA Y, PARA LO CUAL, OBTENDRÁ APORTES FINANCIEROS DEL FONDO FONSECON</t>
  </si>
  <si>
    <t>Edgar Ricardo Gonzalez Patiño</t>
  </si>
  <si>
    <t>edgar.gonzalez@mininterior.gov.co</t>
  </si>
  <si>
    <t>SPSCC CONV 1340-23 FONSECON LETICIA – AMAZONAS REALIZAR ACCIONES, ACTIVIDADES Y COMPROMISOS CONJUNTOS, TENDIENTES AL ESTUDIO, DISEÑO, IMPLEMENTACIÓN E INSTALACIÓN DEL NÚMERO ÚNICO DE EMERGENCIA NUSE 123 Y EL CIRCUITO CERRADO DE TELEVISIÓN (CCTV)</t>
  </si>
  <si>
    <t>SPSCC 1315-23 REALIZAR ACCIONES, ACTIVIDADES Y COMPROMISOS CONJUNTOS, TENDIENTES A LA CONSTRUCCIÓN DE LA ESTACIÓN DISTRITO DE POLICÍA TIPO A, POR PARTE DEL ENTE TERRITORIAL MUNICIPIO DE SOGAMOSO – DPTO DE BOYACÁ Y PARA LO CUAL OBTENDRÁ APORTES FINANCIERO</t>
  </si>
  <si>
    <t>SPSCC 1327-23 REALIZAR ACCIONES, ACTIVIDADES Y COMPROMISOS CONJUNTOS, TENDIENTES AL ESTUDIO, DISEÑO, IMPLEMENTACIÓN E INSTALACIÓN DEL FORTALECIMIENTO DEL CIRCUITO CERRADO DE TELEVISIÓN CCTV EN MARCO DEL PLAN INTEGRAL DE SEGURIDAD Y CONV CIUDADANA DEL</t>
  </si>
  <si>
    <t>95122304;95131500;81101513;80101600</t>
  </si>
  <si>
    <t>SPSCC CONV 1610-23 VF AUNAR ESFUERZOS TÉCNICOS, ADMINISTRATIVOS ENTRE LAS PARTES PARA LA EJECUCIÓN DEL PROYECTO DE INFRAESTRUCTURA PARA LA CONVIVENCIA-TIPO 1B, EN EL MUNICIPIO DE CERTEGUI-CHOCÓ.</t>
  </si>
  <si>
    <t>SPSCC CTO 1608-23 FONSECON AUNAR ESFUERZOS TÉCNICOS Y ADMINISTRATIVOS ENTRE LAS PARTES PARA LA EJECUCION DEL PROYECTO DE INFRAESTRUCTURA PARA LA CONVIVENCIA - TIPO 2A, EN EL MUNICIPIO DE VERSALLES - VALLE DEL CAUCA</t>
  </si>
  <si>
    <t>SPSCC CONV 1618-23 AUNAR ESFUERZOS TÉCNICOS Y ADMINISTRATIVOS ENTRE LAS PARTES PARA LA EJECUCION DEL PROYECTO DE INFRAESTRUCTURA PARA LA CONVIVENCIA - TIPO 1B, EN EL MUNICIPIO DE MARIPI-BOYACA.</t>
  </si>
  <si>
    <t>SPSCC CONV 1617-23 FONSECON AUNAR ESFUERZOS TÉCNICOS Y ADMINISTRATIVOS ENTRE LAS PARTES PARA LA EJECUCIÓN DEL PROYECTO DE INFRAESTRUCTURA PARA LA CONVIVENCIA - TIPO 2A, EN EL MUNICIPIO DE VILLA RICA – CAUCA</t>
  </si>
  <si>
    <t>SPSCC CONV 1606-23 REALIZAR ACCIONES, ACTIVIDADES Y COMPROMISOS CONJUNTOS, TENDIENTES A LA CONSTRUCCION DE UN CENTRO ADMINISTRATIVO MUNICIPAL, POR PARTE DEL ENTE TERRITORIAL RIO QUITO - CHOCO Y PARA LO CUAL OBTENDRÁ APORTES FINANCIEROS DEL FONDO NACIONAL D</t>
  </si>
  <si>
    <t>SPSCC CONV 1602-23 AUNAR ESFUERZOS TÉCNICOS Y ADMINISTRATIVOS ENTRE LAS PARTES PARA LA EJECUCION DEL PROYECTO DE INFRAESTRUCTURA PARA LA CONVIVENCIA - TIPO 1B, EN EL MUNICIPIO DE RAGONVALIA- NORTE DE SANTANDER</t>
  </si>
  <si>
    <t>SPSCC CONV 1603-23 REALIZAR ACCIONES, ACTIVIDADES Y COMPROMISOS CONJUNTOS, TENDIENTES A LA CONSTRUCCION DE UN CENTRO ADMINISTRATIVO MUNICIPAL, POR PARTE DEL ENTE TERRITORIAL LA UNIÓN- NARIÑO, Y PARA LO CUAL OBTENDRÁ APORTES FINANCIEROS DEL FONDO NACIONAL D</t>
  </si>
  <si>
    <t>SPSCC 1619-23 AUNAR ESFUERZOS TÉCNICOS Y ADMINISTRATIVOS ENTRE LAS PARTES PARA LA EJECUCION DEL PROYECTO DE INFRAESTRUCTURA PARA LA CONVIVENCIA - TIPO 2B, EN EL MUNICIPIO DE EL DOVIO- VALLE DEL CAUCA</t>
  </si>
  <si>
    <t>SPSCC 1615-23 AUNAR ESFUERZOS TÉCNICOS Y ADMINISTRATIVOS ENTRE LAS PARTES PARA LA EJECUCIÓN DEL PROYECTO DE INFRAESTRUCTURA PARA LA CONVIVENCIA - TIPO 2A, EN EL MUNICIPIO DE EL TAMBO, NARIÑO.</t>
  </si>
  <si>
    <t>SPSCC CONV 1621-23 AUNAR ESFUERZOS TÉCNICOS Y ADMINISTRATIVOS ENTRE LAS PARTES PARA LA EJECUCION DEL PROYECTO DE INFRAESTRUCTURA PARA LA CONVIVENCIA - TIPO 1B, EN EL MUNICIPIO DE TURMEQUÉ-BOYACA</t>
  </si>
  <si>
    <t>SPSCC 1645-23 REALIZAR ACCIONES, ACTIVIDADES Y COMPROMISOS CONJUNTOS, TENDIENTES A LA CONSTRUCCIÓN DE UN CAM POR PARTE DEL ENTE TERRITORIAL TANGUA - NARIÑO, PARA LO CUAL OBTENDRÁ APORTES FINANCIEROS DEL FONDO NACIONAL DE SEGURIDAD Y CONVIVENCIA</t>
  </si>
  <si>
    <t>SPSCC 1622-23 AUNAR ESFUERZOS TÉCNICOS Y ADMINISTRATIVOS ENTRE LAS PARTES PARA LA EJECUCION DEL PROYECTO DE INFRAESTRUCTURA PARA LA CONVIVENCIA - TIPO 2B , EN EL MUNICIPIO DE ROLDANILLO - VALLE</t>
  </si>
  <si>
    <t>SPSCC CONV 1620-23 AUNAR ESFUERZOS TÉCNICOS Y ADMINISTRATIVOS ENTRE LAS PARTES PARA LA EJECUCION DEL PROYECTO DE INFRAESTRUCTURA PARA LA CONVIVENCIA - TIPO1B, EN EL MUNICIPIO DE COLOSÓ-SUCRE</t>
  </si>
  <si>
    <t>SPSCC 3 PRORR 2 MODIF CONVENIO 1981-21 CUYO OBJETO ES AUNAR ESFUERZOS TÉCNICOS, ADTIVOS  Y FINANCIEROS ENTRE LAS PARTES PARA PROMOVER LA CONVIVENCIA CIUDADANA, A TRAVÉS DE LA EJECUCIÓN DE UN PROYECTO SACUDETE AL PARQUE TIPO 2 EN EL MPIO DE BELEN DE UMBRIA</t>
  </si>
  <si>
    <t>SPSCC CTO 2301-22 1 PRORR 2 MOD AUNAR ESFUERZOS TÉCNICOS, ADMINISTRATIVOS Y FINANCIEROS ENTRE LAS PARTES PARA LLEVAR A CABO ESTUDIOS, DISEÑOS Y CONSTRUCCIÓN DE LA SUBESTACIÓN DE POLICIA DEL CORREGIMIENTO DE SAN LUIS DEL MUNICIPIO DE NEIVA-HUILA</t>
  </si>
  <si>
    <t>SPSCC 5 PRORR Y 3 MODIF AL CONVENIO 1649-21 CUYO OBJETO ES AUNAR ESFUERZOS TÉCNICOS, ADTIVOS Y FINANCIEROS ENTRE LAS PARTES PARA PROMOVER LA CONV CIUDADANA, A TRAVÉS DE LA EJECUCIÓN DE UN PROYECTO SACÚDETE AL PARQUE TIPO 1 EN EL MPIO DE MARQUETALIA - CALDA</t>
  </si>
  <si>
    <t>SPSCC 5 PRORR Y 2 MODIF AL CONV 1628-21 AUNAR ESFUERZOS TÉCNICOS, ADTIVOS Y FINANCIEROS ENTRE LAS PARTES PARA PROMOVER LA CONV CIUDADANA, A TRAVÉS DE LA EJECUCIÓN DE UN PROYECTO SACUDETE AL PARQUE TIPO 1 EN EL MPIO DE CALAMAR - BOLÍVAR</t>
  </si>
  <si>
    <t>SPSCC 5 PRORRO Y 4 MODIF AL CONVENIO 1411-20 CUYO OBJETO ES CUYO OBJETO ES AUNAR ESFUERZOS TÉCNICOS, ADTIVOS Y FINANCIEROS ENTRE LAS PARTES PARA PROMOVER LA CONV CIUDADANA, A TRAVÉS DE LA EJECUCIÓN DE UN PROYECTO SACÚDETE AL PARQUE TIPO 2 OPCIÓN</t>
  </si>
  <si>
    <t>SPSCC 4 PRORR 3 MOD CONV 2014-21 AUNAR ESFUERZOS TÉCNICOS, ADMINISTRATIVOS Y FINANCIEROS ENTRE LAS PARTES PARA PROMOVER LA CONVIVENCIA CIUDADANA, A TRAVÉS DE LA EJECUCIÓN DE UN PROYECTO SACUDETE AL PARQUE TIPO 1 EN EL M/PIO DE PUERTO PARRA 2 SANTANDER</t>
  </si>
  <si>
    <t>SPSCC CONV-2020-21 FONSECON 3ª PRÓRROGA, 1ª ADICIÓN Y 2ª MODIFICACIÓN, AUNAR ESFUERZOS TÉCNICOS, ADMINISTRATIVOS Y FINANCIEROS ENTRE LAS PARTES PARA PROMOVER LA CONVIVENCIA CIUDADANA, A TRAVÉS DE LA EJECUCIÓN DE UN PROYECTO SACUDETE AL PARQUE TIPO 1 EN EL</t>
  </si>
  <si>
    <t>SPSCC 5 PRORR 3 MOD CONV 1592-21 ANUAR ESFUERZOS TÉCNICO, ADMIN Y FINAN ENTRE LAS PARTES PARA PROMOVER LA CONVIVENCIA CIUDADANA, A TRAVÉS DE LA EJECUCIÓN DE UN PROYECTO SACÚDETE AL PARQUE TIPO 1 EN EL M/PIO DE CURUMANÍ – CESAR</t>
  </si>
  <si>
    <t>SPSCC 3 PRORR 2 MOD 1 ADIC CONV 2047-21 AUNAR ESFUERZOS TÉCNICOS, ADTIVOS Y FINANCIEROS ENTRE LAS PARTES PARA PROMOVER LOS ESTUDIOS, DISEÑOS Y CONSTRUCCIÓN DE LA SEDE ADMINISTRATIVA DE LA ALCALDIA MUNICIPAL DE LA PLATA HUILA</t>
  </si>
  <si>
    <t>SPSCC CONV 2038-21 AUNAR ESFUERZOS TÉCNICOS, ADMINISTRATIVOS Y FINANCIEROS ENTRE LAS PARTES PARA PROMOVER LA CONVIVENCIA CIUDADANA, A TRAVÉS DE LA EJECUCIÓN DE UN PROYECTO SACUDETE AL PARQUE TIPO 1 EN EL MUNICIPIO DE PUERTO PARRA - SANTANDER</t>
  </si>
  <si>
    <t>SPSCC 4ª PRORR 2ª MOD CONV 1980-23 AUNAR ESFUERZOS TÉCNICOS, ADMIN Y FINAN ENTRE LAS PARTES PARA PROMOVER LA CONVIVENCIA CIUDADANA, A TRAVÉS DE LA EJECUCIÓN DE UN PROYECTO SACUDETE AL PARQUE TIPO 2 EN EL MUNICIPIO DE SAN CRISTOBAL BOLIVAR</t>
  </si>
  <si>
    <t>SPSCC 5ª PRÓR Y 2 MOD CON 964-21 AUNAR ESFUERZOS TÉCNICOS, ADMINISTRATIVOS Y FINANCIEROS ENTRE LAS PARTES PARA PROMOVER LA CONVIVENCIA CIUDADANA, A TRAVÉS DE LA EJECUCIÓN DE UN PROYECTO SACUDETE AL PARQUE TIPO 2 EN EL MPIO DE GUACARÍ VALLE DEL CAUCA</t>
  </si>
  <si>
    <t>SPSCC 4 PRORR Y 2 MODIF AL CONVENIO 1873-21 CUYO OBJETO ES AUNAR ESFUERZOS TÉCNICOS, ADTIVOS Y FINANCIEROS ENTRE LAS PARTES PARA PROMOVER LA CONV CIUDADANA, A TRAVÉS DE LA EJECUCIÓN DE UN PROYECTO SACUDETE AL PARQUE TIPO 2 EN EL MPIO DE MIRANDA CAUCA</t>
  </si>
  <si>
    <t>SPSCC CONV 1972-2021 FONSECON 5ª PRÓRROGA Y 4ª MODIFICACIÓN, AUNAR ESFUERZOS TÉCNICOS, ADMINISTRATIVOS Y FINANCIEROS ENTRE LAS PARTES PARA PROMOVER LA CONVIVENCIA CIUDADANA, A TRAVÉS DE LA EJECUCIÓN DE UN PROYECTO SACUDETE AL PARQUE TIPO 1 EN EL MUNICIPIO</t>
  </si>
  <si>
    <t>SPSCC 3 PRORR Y 2 MODIF AL CONVENIO 1582-21 CUYO OBJETO ES AUNAR ESFUERZOS TÉCNICOS, ADTIVOS Y FINANCIEROS ENTRE LAS PARTES PARA PROMOVER LA CONV CIUDADANA, A TRAVÉS DE LA EJECUCIÓN DE UN PROYECTO SACUDETE AL PARQUE TIPO 1 EN EL MPIO DE SAN JUAN DE RIOSECO</t>
  </si>
  <si>
    <t>SPSCC 4ª PRORR 3ª MOD CONV 1594-21 AUNAR ESFUERZOS TÉCNICOS, ADMIN Y FINAN ENTRE LAS PARTES PARA PROMOVER LA CONVIVENCIA CIUDADANA, A TRAVÉS DE LA EJECUCIÓN DE UN PROYECTO SACUDETE AL PARQUE TIPO 1 EN EL MUNCIPIO DE USIACURI – ATLÁNTICO</t>
  </si>
  <si>
    <t>SPSCC 2 PRORR Y 2 MODIF AL CONV 2322-22 CUYO OBJETO ES AUNAR ESFUERZOS TÉCNICOS, ADTIVOS Y FINANCIEROS ENTRE LAS PARTES PARA PROMOVER LA CONV CIUDADANA, A TRAVÉS DE LA EJECUCIÓN DE UN PROYECTO SACUDETE AL PARQUE TIPO 1 EN EL MPIO DE SANTO TOMAS – ATLANTICO</t>
  </si>
  <si>
    <t>SPSCC 3ª PROR 2ª MOD CONV 1896-21 AUNAR ESFUERZOS TÉCNICOS, ADMIN Y FINAN ENTRE LAS PARTES PARA PROMOVER LA CONVIVENCIA CIUDADANA, A TRAVÉS DE LA EJECUCIÓN DE UN PROYECTO SACUDETE AL PARQUE TIPO 2 EN EL MUNICIPIO DE PAMPLONA NORTE DE SANTANDER</t>
  </si>
  <si>
    <t>SPSCC 2 PRORR Y 1 MODIF AL CONVENIO 2297-22 CUYO OBJETO ES AUNAR ESFUERZOS TÉCNICOS, ADTIVOS Y FINANCIEROS ENTRE LAS PARTES PARA PROMOVER LA CONV CIUDADANA, A TRAVÉS DE LA EJECUCIÓN DE UN PROYECTO SACUDETE AL PARQUE TIPO 1 EN EL MPIO DE ARGELICA CAUCA</t>
  </si>
  <si>
    <t>SPSCC 2 PRORR Y 2 MODIF AL CONVE 2306-22 CUYO OBJETO ES AUNAR ESFUERZOS TÉCNICOS, ADTIVOS Y FINANCIEROS ENTRE LAS PARTES PARA PROMOVER LA CONV CIUDADANA, A TRAVÉS DE LA EJECUCIÓN DE UN PROYECTO SACUDETE AL PARQUE TIPO 1 EN EL MPIO DE ARAUQUITA – ARAUCA</t>
  </si>
  <si>
    <t>SPSCC 3 PRORR Y 2 MODIF AL CONV 2053-21 CUYO OBJETO ES AUNAR ESFUERZOS TÉCNICOS, ADTIVOS Y FINANCIEROS ENTRE LAS PARTES PARA PROMOVER LOS ESTUDIOS, DISEÑOS Y CONSTRUCCIÓN (OBRA) DE LA SEDE ADTIVA  DE LA ALCALDIA MUNICIPAL DE SANTA FE DE ANTIOQUIA (ANTIOQUI</t>
  </si>
  <si>
    <t>SPSCC 3 PRORR Y 3 MODIF AL CONV 2012-21 CUYO OBJETO ES AUNAR ESFUERZOS TÉCNICOS, ADTIVOS Y FINANCIEROS ENTRE LAS PARTES PARA PROMOVER LA CONV CIUDADANA, A TRAVÉS DE LA EJECUCIÓN DE UN PROYECTO SACUDETE AL PARQUE TIPO 1 EN EL MPIO DE FRANCISO PIZARRO NARIÑO</t>
  </si>
  <si>
    <t>SPSCC 2 PRORR Y 1 MODIF AL CONV 2295-22 CUYO OBJETO ES AUNAR ESFUERZOS TÉCNICOS, ADTIVOS Y FINANCIEROS ENTRE LAS PARTES PARA PROMOVER LA CONV CIUDADANA, A TRAVÉS DE LA EJECUCIÓN DE UN PROYECTO SACUDETE AL PARQUE TIPO 1 EN EL MUNICIPIO DE MANAURE – GUAJIRA</t>
  </si>
  <si>
    <t>SPSCC 4 PRORR Y 3 MODIF AL CONV 1543-20 CUYO OBETO ES AUNAR ESFUERZOS TÉCNICOS, ADTIVOS Y FINANCIEROS ENTRE LAS PARTES PARA PROMOVER LA CONV CIUDADANA, MEDIANTE LA CONSTRUCCIÓN DEL PROYECTO SACÚDETE CREA MININTERIOR DEL MPIO DE GIRARDOT – CUNDINAMARCA</t>
  </si>
  <si>
    <t>SPSCC 1RA  PRÓR Y 1RA MOD CONV 2298-23. AUNAR ESFUERZOS TÉCNICOS, ADMINISTRATIVOS Y FINANCIEROS ENTRE LAS PARTES PARA PROMOVER LA CONVIVIENCIA CIUDADANA, A TRAVÉS DE LA EJECUCIÓN DE UN PROYECTO SACÚDETE AL PARQUE TIPO 2, OPCIÓN 1 DEL MPIO DE TUTA DEL DPTO</t>
  </si>
  <si>
    <t>SPSCC 4 PRORR 2 MODIF Y 1 ADICION AL CONV 1982-21 CUYO OBJETO ES AUNAR ESFUERZOS TÉCNICOS, ADTIVOS Y FINANCIEROS ENTRE LAS PARTES PARA PROMOVER LA CONV CIUDADANA, A TRAVÉS DE LA EJECUCIÓN DE UN PROYECTO SACUDETE AL PARQUE TIPO 1 EN EL MPIO DE SAN DIEGO – C</t>
  </si>
  <si>
    <t>SPSCC 3 PRORR Y 3 MODIF AL COVENIO 2057-21 CUYO OBJETO ES AUNAR ESFUERZOS TÉCNICOS ADTIVOS Y FINANCIEROS ENTRE LAS PARTES PARA PROMOVER LOS ESTUDIOS, DISEÑOS Y CONSTRUCCIÓN (OBRA) DE LA SEDE ADMINISTRATIVA DE LA ALCALDÍA MUNICIPAL DE LÓPEZ DE MICAY</t>
  </si>
  <si>
    <t>SPSCC 1 PRORR Y 1 MODIF AL CONVENIO 2302-22 CUYO OBJETO ES AUNAR ESFUERZOS TÉCNICOS, ADTIVOS Y FINANCIEROS ENTRE LAS PARTES PARA PROMOVER LA CONV CIUDADANA, A TRAVÉS DE LA EJECUCIÓN DE UN PROYECTO SACÚDETE AL PARQUE TIPO 2, OPCIÓN 1 DEL MPIO DE TIBÚ DEL DP</t>
  </si>
  <si>
    <t>SPSCC CONV 1781-21 FONSECON 2ª PRÓRR Y 3ª MOD. AUNAR ESFUERZOS TÉCNICOS, ADMINISTRATIVOS Y FINANCIEROS ENTRE LAS PARTES PARA PROMOVER LA CONVIVENCIA CIUDADANA, A TRAVÉS DE LA EJECUCIÓN DE UN PROYECTO SACUDETE AL PARQUE TIPO 2 EN EL MUNICIPIO DE SANTA ROSA</t>
  </si>
  <si>
    <t>SPSCC CONV 2296-22 FONSECON 1ª PRÓRR Y 1ª MOD. AUNAR ESFUERZOS TÉCNICOS, ADMITIVOS Y FNCIEROS ENTRE LAS PARTES PARA PROMOVER LA CONVIVIENCIA CIUDADANA, A TRAVÉS DE LA EJECUCIÓN DE UN PROYECTO SACÚDETE AL PARQUE TIPO 2, OPCIÓN 1 DEL MUNICIPIO SITIO NUEVO -</t>
  </si>
  <si>
    <t>SPSCC 3 PRORR Y 2 MODF CONV 2037-21 CUYO OBJETO ES AUNAR ESFUERZOS TÉCNICOS, ADTIVOS Y FINANCIEROS ENTRE LAS PARTES PARA PROMOVER LA CONV CIUDADANA, A TRAVÉS DE LA EJECUCIÓN DE UN PROYECTO SACUDETE AL PARQUE TIPO 2 EN EL MPIO DE PACHO - CUNDINAMARCA</t>
  </si>
  <si>
    <t>SPSCC CONV 2314-22. 2ª PRÓRR Y 1ª MOD. AUNAR ESFUERZOS TÉCNICOS, ADMTIVOS Y FNCIEROS ENTRE LAS PARTES PARA PROMOVER LA CONV CIUDADANA, A TRAVÉS DE LA EJECUCIÓN DE UN PYCTO SACUDETE AL PARQUE TIPO 1 EN EL MUNICIPIO DE TIPACOQUE–BOYACA</t>
  </si>
  <si>
    <t>SPSCC 4ª PROR Y 2ª MOD, CONV No. 1523 DE 2021 AUNAR ESFUERZOS TÉCNICOS, ADMINISTRATIVOS Y FINANCIEROS ENTRE LAS PARTES PARA PROMOVER LA CONVIVENCIA CIUDADANA, A TRAVÉS DE LA EJECUCIÓN DE UN PROYECTO SACUDETE AL PARQUE TIPO 1 EN EL MPIO DE CALARCA QUÍNDIO</t>
  </si>
  <si>
    <t>SPSCC CONV 1520A-2020 FONSECON 4ª PRÓRROGA Y 3ª MODIFICACIÓN, CONSTRUCCIÓN DE FUERTE DE CARABINEROS DE OCCIDENTE DE LA POLICÍA NACIONAL DEL MUNICIPIO DE MARIPÍ DEL DEPARTAMENTO DE BOYACA</t>
  </si>
  <si>
    <t>SPSCC 1ª PRORR 1ª ADIC 1ª MOD CONV 2313-22 AUNAR ESFUERZOS TÉCNICOS, ADMINISTRATIVOS Y FINANCIEROS ENTRE LAS PARTES PARA PROMOVER LA CONVIVENCIA CIUDADANA, A TRAVÉS DE LA EJECUCIÓN DE UN PROYECTO SACUDETE AL PARQUE TIPO 1 EN EL M/PIO DE TOCA – BOYACÁ</t>
  </si>
  <si>
    <t>SPSCC 3 PRORR MODIF Y 1 ADICION AL CONV 1547-20 CUYO OBJETO ES AUNAR ESFUERZOS TÉCNICOS, ADTIVOS Y FINANCIEROS ENTRE LAS PARTES PARA PARA PROMOVER LOS ESTUDIOS DISEÑOS Y CONSTRUCCIÓN DEL CENTRO ADMINISTRATIVO MUNICIPAL DE SANTIAGO DE TOLÚ DPTO DE SUCRE</t>
  </si>
  <si>
    <t>SPSCC 4 PRORR Y 2 MODIF AL CONV 945-21 CUYO OBJETO ES AUNAR ESFUERZOS TÉCNICOS, ADTIVOS Y FINANCIEROS ENTRE LAS PARTES PARA PROMOVER LA CONV CIUDADANA, A TRAVES DE LA EJECUCION DE UN PROYECTO SACUDETE AL PARQUE TIPO 2 EN EL MPIO DE IBAGUE – TOLIMA</t>
  </si>
  <si>
    <t>SPSCC 2 PROR Y MODIF Y 1 ADICION AL CONV 2303-22 CUYO OBJETO ES AUNAR ESFUERZOS TÉCNICOS, ADTIVOS Y FINANCIEROS ENTRE LAS PARTES PARA PROMOVER LA CONV CIUDADANA, A TRAVÉS DE LA EJECUCIÓN DE UN PROYECTO SACUDETE AL PARQUE TIPO 1 EN EL MPIO DE AYAPEL – CORDO</t>
  </si>
  <si>
    <t>SPSCC 5 PRORR Y 6 MODIF CONV 888-2019 CUYO OBJETO ES AUNAR ESFUERZOS TÉCNICOS, ADMINISTRATIVOS Y FINANCIEROS PARA REALIZAR LOS ESTUDIOS, DISEÑOS Y CONSTRUCCIÓN DE UNA ESTACIÓN DE POLICÍA EN EL MUNICIPIO DE SAN MATEO - BOYACÁ</t>
  </si>
  <si>
    <t>SPSCC 3 PRORR Y 2 MODIF AL CONV 1878-21 CUYO OBJETO ES AUNAR ESFUERZOS TÉCNICOS, ADTIVOS Y FINANCIEROS ENTRE LAS PARTES PARA PROMOVER LA CONV CIUDADANA, A TRAVÉS DE LA EJECUCIÓN DE UN PROYECTO SACUDETE AL PARQUE TIPO 2 EN EL MPIO DE RIONEGRO – ANTIOQUIA.</t>
  </si>
  <si>
    <t>SPSCC CTO 2311-22 “AUNAR ESFUERZOS TÉCNICOS, ADMINISTRATIVOS Y FINANCIEROS ENTRE LAS PARTES PARA PROMOVER LA CONVIVENCIA CIUDADANA, A TRAVÉS DE LA EJECUCIÓN DE UN PROYECTO SACUDETE AL PARQUE TIPO 1 OPCIÓN 1 EN EL M/PIO DE TIBACUY – CUNDINAMARCA</t>
  </si>
  <si>
    <t>SPSCC 6ª PRORR 5 MOD CONV 910-19 AUNAR ESFUERZOS TÉCNICOS, ADMINISTRATIVOS Y FINANCIEROS ENTRE LAS PARTES PARA PROMOVER LA CONVIVENCIA CIUDADANA, A TRAVÉS DE LA EJECUCIÓN DE UN CENTRO DE INTEGRACIÓN CIUDADANA – CIC EN EL MUNICIPIO DE CALDAS – BOYACA</t>
  </si>
  <si>
    <t>SPSCC 3ª PRORR 3ª MOD CONV 2050-21 AUNAR ESFUERZOS TÉCNICOS, ADMINISTRATIVOS Y FINANCIEROS ENTRE LAS PARTES PARA PROMOVER LOS ESTUDIOS, DISEÑOS Y CONSTRUCCIÓN DEL NUEVO CENTRO ADMINISTRATIVO MUNICIPAL (C.A.M) DE TUMACO-NARIÑO</t>
  </si>
  <si>
    <t>SPSCC CONV 2307-22. 2ª PRÓRR Y 2ª MOD. AUNAR ESFUERZOS TÉCNICOS, ADMITIVOS Y FNCROS ENTRE LAS PARTES PARA PROMOVER LA CONVIVENCIA CIUDADANA, A TRAVÉS DE LA EJECUCIÓN DE UN PROYECTO SACUDETE AL PARQUE TIPO 1 EN EL MUNICIPIO DE ACHÍ – BOLIVAR</t>
  </si>
  <si>
    <t>SPSCC 1ª PRORR 1ª ADIC CONV 2299-22 AUNAR ESFUERZOS TÉCNICOS, ADMIN Y FINAN ENTRE LAS PARTES PARA LA IMPLEMENTACIÓN DE LOS PLANES INTEGRALES DE SEGURIDAD Y CONVIVENCIA CIUDADANA MEDIANTE LA COFINANCIACIÓN PARA LA ADQUISICIÓN E INSTALACIÓN DE CÁMARAS DE SEG</t>
  </si>
  <si>
    <t>SPSCC 4ª° PRORR Y 2ª° MODIF CONV INTERADTIVO 2001-2021, AUNAR ESFUERZOS TÉCNICOS, ADMINISTRATIVOS Y FINANCIEROS ENTRE LAS PARTES PARA PROMOVER LA CONVIVENCIA CIUDADANA, A TRAVÉS DE LA EJECUCIÓN DE UN PROYECTO SACUDETE AL PARQUE TIPO 1 EN EL MUCPIO DE BALBO</t>
  </si>
  <si>
    <t>SPSCC 2ª° PRORR Y 1ª° MODIF CONV INTERADTIVO 2315-2022, AUNAR ESFUERZOS TÉCNICOS, ADMINISTRATIVOS Y FINANCIEROS ENTRE LAS PARTES PARA PROMOVER LA CONVIVENCIA CIUDADANA, A TRAVÉS DE LA EJECUCIÓN DE UN PROYECTO SACUDETE AL PARQUE TIPO 1 EN EL MPIO DE FIRAVIT</t>
  </si>
  <si>
    <t>SPSCC 1ª PRORR 1ª MOD CTO 2300-22 AUNAR ESFUERZOS TÉCNICOS, ADMINISTRATIVOS Y FINANCIEROS ENTRE LAS PARTES PARA DESARROLLAR LOS ESTUDIOS, DISEÑOS Y CONSTRUCCIÓN DEL CENTRO ADMINISTRATIVO MUNICIPAL DE SAN ANTONIO DE PALMITO SUCRE</t>
  </si>
  <si>
    <t>SPSCC CONV 2312-22 FONSECON 2ª PRÓRROGA Y 1ª MODIFICACIÓN. AUNAR ESFUERZOS TÉCNICOS, ADMINISTRATIVOS Y FINANCIEROS ENTRE LAS PARTES PARA PROMOVER LA CONVIVENCIA CIUDADANA, A TRAVÉS DE LA EJECUCIÓN DE UN PROYECTO SACUDETE AL PARQUE TIPO 1 EN EL MUNICIPIO DE</t>
  </si>
  <si>
    <t>SPSCC 4 PROR Y 3 MODIF AL CONVE 899-21 CUYO OBJETO ES AUNAR ESFUERZOS TÉCNICOS, ADTIVOS Y FINANCIEROS ENTRE LAS PARTES PARA PROMOVER LA CONVI CIUDADANA, A TRAVÉS DE LA EJECUCIÓN DE UN PROYECTO SACUDETE AL PARQUE TIPO 1 EN EL MPIO DE TIMANÁ HUILA</t>
  </si>
  <si>
    <t>SPSCC 4 PRORR 2 MODIF Y 1 ADICI AL CONV 2009-21 CUYO OBJETO ES AUNAR ESFUERZOS TÉCNICOS, ADTIVOS Y FINANCIEROS ENTRE LAS PARTES PARA PROMOVER LA CONV CIUDADANA, A TRAVÉS DE LA EJECUCIÓN DE UN PROYECTO SACUDETE AL PARQUE TIPO 1 EN EL MPIO DE SANTA ROSALÍA –</t>
  </si>
  <si>
    <t>SPSCC 4 PRORR Y 3 MODIF AL CONV 2022-21 CUYO OBJETO ES AUNAR ESFUERZOS TÉCNICOS, ADTIVOS Y FINANCIEROS ENTRE LAS PARTES PARA PROMOVER LA CONV CIUDADANA, A TRAVÉS DE LA EJECUCIÓN DE UN PROYECTO SACUDETE AL PARQUE TIPO 2 EN EL MPIO DE BARBOSA SANTANDER</t>
  </si>
  <si>
    <t>SPSCC 3 PRORR 2 MODIF Y 1 ADICION CONV 2015-21 CUYO OBJETO ES AUNAR ESFUERZOS TÉCNICOS, ADTIVOS Y FINANCIEROS ENTRE LAS PARTES PARA PROMOVER LA CONV CIUDADANA, A TRAVÉS DE LA EJECUCIÓN DE UN PROYECTO SACUDETE AL PARQUE TIPO 2 EN EL MPIO DE MONTENEGRO QUIND</t>
  </si>
  <si>
    <t>SPSCC 4 PRORR Y 3 MODIF AL CONV 1627-21 CUYO OBJETO ES AUNAR ESFUERZOS TÉCNICOS, ADTIVOS Y FINANCIEROS ENTRE LAS PARTES PARA PROMOVER LA CONV CIUDADANA, A TRAVÉS DE LA EJECUCIÓN DE UN PROYECTO SACUDETE AL PARQUE TIPO 1 EN EL MPIO DE GUAMO - BOLIVA</t>
  </si>
  <si>
    <t>SPSCC 4ª PRORR 3ª MOD CTO 1581-21 AUNAR ESFUERZOS TÉCNICOS, ADMIN Y FINAN ENTRE LAS PARTES PARA PROMOVER LA CONVIVENCIA CIUDADANA, A TRAVÉS DE LA EJECUCIÓN DE UN PROYECTO SACUDETE AL PARQUE TIPO 1 EN EL MUNICIPIO DE LA CALERA – CUNDINAMARCA</t>
  </si>
  <si>
    <t>SPSCC CONV 986-2021 FONSECON 4ª PRÓRROGA Y 3ª MODIFICACIÓN, AUNAR ESFUERZOS TÉCNICOS, ADMITIVOS Y FCIEROS ENTRE LAS PARTES PARA PROMOVER LA CONVIVENCIA CIUDADANA, A TRAVÉS DE LA EJECUCIÓN DE UN PROYECTO SACUDETE AL PARQUE TIPO 1 EN EL MUNICIPIO DE JURADÓ (</t>
  </si>
  <si>
    <t>SPSCC 3ª PROR 2ª MODF Y 1ª ADI, CONV INTERADTIVO No. 1586 DE 2021 AUNAR ESFUERZOS TÉCNICOS, ADMINISTRATIVOS Y FINANCIEROS ENTRE LAS PARTES PARA PROMOVER LA CONVIVENCIA CIUDADANA, A TRAVÉS DE LA EJECUCIÓN DE UN PROYECTO SACUDETE AL PARQUE TIPO 1 EN EL MUNIC</t>
  </si>
  <si>
    <t>SPSCC CONV-2013-21 FONSECON 2ª MODIFICACIÓN 4ª PRÓRROGA, AUNAR ESFUERZOS TÉCNICOS, ADMITIVOS Y FNCROS ENTRE LAS PARTES PARA PROMOVER LA CONVIVENCIA CIUDADANA, A TRAVÉS DE LA EJECUCIÓN DE UN PROYECTO SACÚDETE AL PARQUE TIPO 1 EN EL MUNICIPIO DE ESPINAL TOLI</t>
  </si>
  <si>
    <t>SPSCC 4ª PRORR, ADIC Y 2ª MOD CTO 1619-21 AUNAR ESFUERZOS TÉCNICOS, ADMIN Y FINANCIEROS ENTRE LAS PARTES PARA PROMOVER LA CONVIVENCIA CIUDADANA, A TRAVÉS DE LA EJECUCIÓN DE UN PROYECTO SACUDETE AL PARQUE TIPO 1 EN EL M/PIO DE CRAVO NORTE – ARAUCA</t>
  </si>
  <si>
    <t>SPSCC 5ª PRORR 3ª MOD CTO 1895-21 AUNAR ESFUERZOS TECNICOS ADMINISTRATIVOS Y FINANCIEROS ENTRE LAS PARTES PARA PROMOVER LA CONVIVENCIA CIUDADANA A TRAVES DE LA EJECUCION DE UN PROYECTO SACUDETE AL PARQUE TIPO 1 EN EL MPIO DE SUAN - ATLÁNTICO</t>
  </si>
  <si>
    <t>SPSCC 3 PRORR Y MODIF AL CONVENIO 1546-20 CUYO OBJETO ES AUNAR ESFUERZOS TECNICOS ADTIVOS Y FINANCIEROS ENTRE LAS PARTES PARA REALIZAR ESTUDIO, DISEÑO Y CONSTRUCCIÓN DE ESTACIÓN BASE TIPO C EN EL MUNICIPIO DE VILLA DEL ROSARIO (LA PARADA) DPTO DE NORTE DE</t>
  </si>
  <si>
    <t>SPSCC 4 PRORR Y MODIF AL CONVENIO 2034-21 CUYO OBJETO ES AUNAR ESFUERZOS TÉCNICOS, ADTIVOS Y FINANCIEROS ENTRE LAS PARTES PARA PROMOVER LA CONV CIUDADANA, A TRAVÉS DE LA EJECUCIÓN DE UN PROYECTO SACUDETE AL PARQUE TIPO 2 EN EL MPIO DE YAGUARA-HUILA</t>
  </si>
  <si>
    <t>SPSCC 2710-23 ADQUISICIÓN CON DESTINO A LA ARMADA NACIONAL, BOTES DE COMBATE FLUVIAL Y COSTERO, CON CAPACIDAD DE PATRULLAJE, REACCIÓN Y APOYO ANTE EVENTOS DE EMERGENCIA PARA LA ATENCIÓN DE EVENTOS PARA SALVAGUARDAR LA VIDA HUMANA EN AFLUENTES FLUVIALES Y C</t>
  </si>
  <si>
    <t>SPSCC 1ª PRÓR Y ADIC CTO 1432 DE 2023 SERV PROF EN LA SPSCC, APOYANDO JURÍDICAMENTE EN LAS ETAPAS PRECONTRACTUAL, CONTRACTUAL Y POSTCONTRACTUAL DE LOS PROYECTOS FINANCIADOS Y/O COFINANCIADOS POR EL FONDO NACIONAL DE SEGURIDAD Y CONVIVENCIA CIUDADANA - FONS</t>
  </si>
  <si>
    <t>SPSCC CTO 2746-23 SERV PROF PARA APOYAR JURÍDICAMENTE A LA SPSCC EN EL DESARROLLO DE LOS OBJETIVOS ESTRATÉGICOS Y MISIONALES QUE TENGAN RELACIÓN CON LOS PROYECTOS QUE SE FINANCIEN CON RECURSOS DEL FONDO NACIONAL DE SEGURIDAD Y CONVIVENCIA CIUDADANA - FONSE</t>
  </si>
  <si>
    <t>SPSCC CTO 2747-23 SERV PROF EN LA SPSCC, APOYANDO LAS ACTIVIDADES DE PLANEACIÓN Y REVISIÓN DE LOS PROYECTOS FINANCIADOS Y/O COFINANCIADOS CON RECURSOS DEL FONDO NACIONAL DE SEGURIDAD Y CONVIVENCIA CIUDADANA - FONSECON PARA LA VIABILIDAD DE LOS MISMOS</t>
  </si>
  <si>
    <t>SPSCC 2ª PRORR Y REPROG CTO 2308-22 AUNAR ESFUERZOS TÉCNICOS, ADMIN Y FINAN ENTRE LAS PARTES PARA LA IMPLEMENTACIÓN DE LOS PLANES INTEGRALES DE SEGURIDAD Y CONVIVENCIA CIUDADANA MEDIANTE LA COFINANCIACIÓN PARA LA ADQUISICIÓN E INSTALACIÓN DE CÁMARAS DE SEG</t>
  </si>
  <si>
    <t>SPSCC CTO 2050-21 AUNARESFUERZOS TÉCNICOS, ADMINISTRATIVOS Y FINANCIEROS ENTRE LAS PARTES PARAPROMOVER LOS ESTUDIOS, DISEÑOS Y CONSTRUCCIÓN DEL NUEVO CENTROADMINISTRATIVO MUNICIPAL (C.A.M) DE TUMACO-NARIÑO</t>
  </si>
  <si>
    <t>SPSCC CTO 2057 AUNAR ESFUERZOS TÉCNICOS ADMINISTRATIVOS Y FINANCIEROSENTRE LAS PARTES PARA PROMOVER LOS ESTUDIOS, DISEÑOS Y CONSTRUCCIÓN(OBRA) DE LA SEDE ADMINISTRATIVA DE LA ALCALDÍA MUNICIPAL DE LÓPEZ DEMICAY- CAUCA</t>
  </si>
  <si>
    <t>SPSCC 2 PRORR Y MODIF AL CONVENIO 1546-20 CUYO OBJETO ES AUNAR ESFUERZOS TECNICOS ADTIVOS Y FINANCIEROS ENTRE LAS PARTES PARA REALIZAR ESTUDIO, DISEÑOS Y CONSTRUCCION DE ESTACION BASE DE DISTRITO TIPO C EN EL MPIO DE VILLA DEL ROSARIO (LA PARADA) DPTO NORT</t>
  </si>
  <si>
    <t>SPSCC CTO 1520A -20 CONSTRUCCIÓN DE FUERTE DE CARABINEROS DE OCCIDENTE DE LA POLICÍA NACIONALDEL MUNICIPIO DE MARIPÍ DEL DEPARTAMENTO DE BOYACÁ</t>
  </si>
  <si>
    <t>SPSCC 3ª PROOR 2ª MOD CONV 1149-20 AUNAR ESFUERZOS TÉCNICOS, ADMINISTRATIVOS Y FINANCIEROS PARA REALIZAR LOS ESTUDIOS, DISEÑOS Y CONSTRUCCION DE ESTACION BASE DE DISTRITO TIPO B DE POLICIA EN EL MPIO DE MONTELIBANO, DPTO DE CORDOBA</t>
  </si>
  <si>
    <t>SPSCC 2 PRORRO Y 1 MODIF AL CONVENIO 2055-21 CUYO OBJETO ES AUNAR ESFUERZOS TÉCNICOS, ADTIVOS Y FINANCIEROS ENTRE LAS PARTES PARA PROMOVER LOS ESTUDIOS, DISEÑOS Y CONSTRUCCIÓN DEL NUEVO CENTRO ADTIVO MUNICIPAL (CAM) DE BANCO MAGDALENA</t>
  </si>
  <si>
    <t>SPSCC Contar con el personal y recursos para realizar la debida supervisión al seguimiento de la ejecución de proyectos FONSECON</t>
  </si>
  <si>
    <t>SPSCC  Aunar esfuerzos entre el Ministerio del Interior y la Policía Nacional, con el concurso de la Corporación de la Industria Aeronáutica Colombiana S.A:, para atender los requerimientos básicos que demande el desplazamiento aéreo del titular de la cartera y los funcionarios que este autorice, dentro del territorio nacional en desarrollo de las actividades propias de su cargo.</t>
  </si>
  <si>
    <t>SPSCC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</si>
  <si>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SPSCC Suministrar el transporte aéreo en vuelos Nacionales e Internacionales para los funcionarios, contratistas del Ministerio del Interior y funcionarios de la Policía Nacional que prestan sus servicios de protección y seguridad en el Ministerio del Interior.</t>
  </si>
  <si>
    <t>Garantizar espacios físicos funcionales para la preservación de la seguridad y la promoción de la convivencia ciudadana.</t>
  </si>
  <si>
    <t>C-3702-1000-13</t>
  </si>
  <si>
    <t>SPSCC 2561-23 REALIZAR LA ASISTENCIA TÉCNICA, ADMINISTRATIVA, OPERATIVA Y FINANCIERA PARA LA EJECUCIÓN DE PROYECTOS DE INFRAESTRUCTURA FINANCIADOS POR EL FONDO NACIONAL PARA LA SEGURIDAD Y CONVIVENCIA CIUDADANA FONSECON</t>
  </si>
  <si>
    <t>SPSCC CTO 1905-22 AUNAR ESFUERZOSTÉCNICOS, ADMINISTRATIVOS Y FINANCIEROS ENTRE LAS PARTES PARA LLEVAR A CABO LOSESTUDIOS, DISEÑO y CONSTRUCCION ESTACION DE POLICIA EN EL MUNICIPIO DE RONDON – DEPARTAMENTO DE BOYACÁ</t>
  </si>
  <si>
    <t>SPSCC CTO 1923-22 “AUNAR ESFUERZOS TÉCNICOS, ADMINISTRATIVOS Y FINANCIEROSENTRE LAS PARTES PARA LLEVAR A CABO LOS ESTUDIOS, DISEÑO yCONSTRUCCION ESTACION DE POLICIA EN EL MUNICIPIO DE LIBORINA –DEPARTAMENTO DE ANTIOQUIA</t>
  </si>
  <si>
    <t>SPSCC 1913-22 AUNAR ESFUERZOS TÉCNICOS, ADMINISTRATIVOS Y FINANCIEROS ENTRE LAS PARTES PARA LLEVAR A CABO LOS ESTUDIOS, DISEÑO y CONSTRUCCION ESTACION DE POLICIA EN EL MUNICIPIO DE GUATEQUE - DEPARTAMENTO DE BOYACÁ</t>
  </si>
  <si>
    <t>SPSCC CONVENIO1909-22 OBJETO:AUNAR ESFUERZOS TÉCNICOS, ADMINISTRATIVOS Y FINANCIEROS ENTRE LAS PARTESPARA LLEVAR A CABO LOS ESTUDIOS, DISEÑO y CONSTRUCCION ESTACION DE POLICIAEN EL MUNICIPIO DE CANTON DE SAN PABLO – DEPARTAMENTO DE CHOCO</t>
  </si>
  <si>
    <t>SPSCC CTO 1907-22 AUNARESFUERZOS TÉCNICOS, ADMINISTRATIVOS Y FINANCIEROS ENTRE LAS PARTES PARALLEVAR A CABO LOS ESTUDIOS, DISEÑO y CONSTRUCCION ESTACION DE POLICIA EN EL MUNICIPIO DE TÁMESIS</t>
  </si>
  <si>
    <t>SPSCC 1921-22 AUNAR ESFUERZOS TÉCNICOS, ADTIVOS Y FINANCIEROS ENTRE LAS PARTES PARA LLEVAR A CABO LOS ESTUDIOS, DISEÑOS Y CONSTRUCCIÓN DE LA ESTACIÓN DE POLICÍA- PIE DE PATÓ - MPIO  DE ALTO BAUDÓ DEL DPTO  DE CHOCÓ</t>
  </si>
  <si>
    <t>SPSCC 1917-22 AUNAR ESFUERZOS TÉCNICOS, ADTIVOS Y FINANCIEROS ENTRE LAS PARTES PARA LLEVAR A CABO LOS “ESTUDIOS, DISEÑOS, Y CONSTRUCCION DE SUBESTACION DE POLICIA EN LA VEREDA EL BONGO, MPIO DE LOS PALMITOS –SUCRE</t>
  </si>
  <si>
    <t>SPSCC CONV 1914-22 AUNAR ESFUERZOS TÉCNICOS, ADMINISTRATIVOS Y FINANCIEROS ENTRE LAS PARTES PARA LLEVAR A CABO LOS ESTUDIOS, DISEÑO Y CONSTRUCCION DE ESTACION BASE DE DISTRITO TIPO A EN EL MPIO DE COROZAL – DPTO DE SUCRE</t>
  </si>
  <si>
    <t>SPSCC CONV 1897-22 AUNAR ESFUERZOS TÉCNICOS, ADMIN Y FINAN ENTRE LAS PARTES PARA LLEVAR A CABO ESTUDIOS, DISEÑOSY CONSTRUCCIÓN DEL PROYECTO SUBESTACIÓN DE POLICIA TIPO A NIVEL DE SEGURIDAD 3 DEL CORREGIMIENTO LA CHAPA DEL MPIO DE EL CARMEN DEL VIBORAL DEL</t>
  </si>
  <si>
    <t>SPSCC 1910-22 AUNAR ESFUERZOS TÉCNICOS, ADMINISTRATIVOS Y FINANCIEROS ENTRE LAS PARTES PARA LLEVAR A CABO LOS ESTUDIOS DISEÑOS Y CONSTRUCCION DE ESTACION DE POLICIA MARGEN IZQUIERDA DEL MUNICIPIO DE MONTERIA  DPTO  CORDOBA.</t>
  </si>
  <si>
    <t>SPSCC 1892-22 AUNAR ESFUERZOS TECNICOS, ADTIVOS Y FINANCIEROS ENTRE LAS PARTES PARA LLEVAR A CABO LOS ESTUDIOS DISEÑOS Y CONSTRUCCION DE LA FASE 1 DEL COMANDO DE POLICIA EN EL DPTO DE BOLIVAR</t>
  </si>
  <si>
    <t>SPSCC CONV 1912-22 AUNAR ESFUERZOS TÉCNICOS, ADMINISTRATIVOS Y FINANCIEROS ENTRE LAS PARTES PARA LLEVAR A CABO ESTUDIOS, DISEÑOS Y CONSTRUCCION DE INFRAESTRUCTURA FISICA PARA ESTACION DE POLICIA DEL MPIO DE PUEBLO NUEVO-DPTO DE CÓRDOBA</t>
  </si>
  <si>
    <t>SPSCC convenio 1918-22 AUNAR ESFUERZOS TÉCNICOS, ADMINISTRATIVOS Y FINANCIEROSENTRE LAS PARTES PARA LLEVAR A CABO LOS ESTUDIOS, DISEÑO Y CONSTRUCCION DE ESTACIÓNDE POLICIA EN EL MUNICIPIO DE IPIALES, DEPARTAMENTO DE NARIÑO</t>
  </si>
  <si>
    <t>SPSCC CONV 1908-22 AUNAR ESFUERZOS TÉCNICOS, ADMINISTRATIVOS Y FINANCIEROS ENTRE LAS PARTES PARA LLEVAR A CABO LOS ESTUDIOS, DISEÑO Y CONSTRUCCION DE ESTACIÓN DE POLICIA EN ZONA URBANA DEL MPIO DE FLANDES DEL DPTO DE TOLIMA</t>
  </si>
  <si>
    <t>SPSCC 1916-22 AUNAR ESFUERZOS TÉCNICOS, ADMINISTRATIVOS Y FINANCIEROS ENTRE LAS PARTES PARA LLEVAR A CABO LOS ESTUDIOS, DISEÑOS Y CONSTRUCCION DE LA ESTACION DE POLICIA DEL MUNICIPIO DE ARBOLEDAS NORTE DE SANTANDER.</t>
  </si>
  <si>
    <t>SPSCC 1901-22 AUNAR ESFUERZOS TÉCNICOS, ADMINISTRATIVOS Y FINANCIEROS ENTRE LAS PARTES PARA LLEVAR A CABO LOS ESTUDIOS, DISEÑO Y CONSTRUCCIÓN ESTACIÓN DE POLICÍA EN EL MUNICIPIO DE ACACIAS - DEPARTAMENTO DE META.</t>
  </si>
  <si>
    <t>SPSCC 2328-22 AUNAR ESFUERZOS TÉCNICOS, ADTIVOS Y FINANCIEROS ENTRE LAS PARTES PARA LLEVAR A CABO LOS ESTUDIOS, DISEÑO Y CONSTRUCCION DEL DISTRITO I Y ESTACIÓN DE POLICIA MOCOA,DPTO DE PUTUMAYO</t>
  </si>
  <si>
    <t>SPSCC 2327-22 AUNAR ESFUERZOS TÉCNICOS, ADTIVOS Y FINANCIEROS ENTRE LAS PARTES PARA LLEVAR A CABO LOS ESTUDIOS, DISEÑOS Y CONSTRUCCION DEL DISTRITO I Y ESTACIÓN DE POLICIA UBATE, MUNICIPIO DE UBATE CUNDINAMARCA</t>
  </si>
  <si>
    <t>SPSCC 2326-22 ACTUALIZACIÓN DE ESTUDIOS Y DISENOS, Y AMPLIACIÓN DE LA INFRAESTRUCUTRA DE LASUBESTACIÓN DE POLICÍA LLORENTE - MUNICIPIO DE TUMACO NARIÑO</t>
  </si>
  <si>
    <t>Implementar y modernizar herramientas tecnológicas para la seguridad y convivencia ciudadana</t>
  </si>
  <si>
    <t>C-3702-1000-8</t>
  </si>
  <si>
    <t>SPSCC CONV 1607-23 REALIZAR ACCIONES, ACTIVIDADES Y COMPROMISOS CONJUNTOS, TENDIENTES AL ESTUDIO, DISEÑO, IMPLEMENTACIÓN E INSTALACIÓN DEL CIRCUITO CERRADO DE TELEVISIÓN CCTV PARA SEGURIDAD Y CONVIVENCIA, POR PARTE DEL MUNICIPIO DE PAIPA, DEPARTAMENTO DE B</t>
  </si>
  <si>
    <t>SPSCC 1611-23 REALIZAR ACCIONES, ACTIVIDADES Y COMPROMISOS CONJUNTOS, TENDIENTES AL ESTUDIO, DISEÑO, IMPLEMENTACIÓN E INSTALACIÓN DEL CIRCUITO CERRADO DE TELEVISIÓN CCTV PARA SEGURIDAD Y CONVIVENCIA, POR PARTE DEL MPIO DE COVEÑAS, DPTO DE SUCRE, PARA LO CU</t>
  </si>
  <si>
    <t>SPSCC 1612-23 REALIZAR ACCIONES, ACTIVIDADES Y COMPROMISOS CONJUNTOS, TENDIENTES AL ESTUDIO, DISEÑO, IMPLEMENTACIÓN E INSTALACIÓN DEL CIRCUITO CERRADO DE TELEVISIÓN CCTV PARA SEGURIDAD Y CONVIVENCIA, POR PARTE DEL MPIO DE BOCHALEMA, DPTO DE NORTE</t>
  </si>
  <si>
    <t>SPSCC CTO 2665-23 FONSECON REALIZAR LA ASISTENCIA TÉCNICA, ADMINISTRATIVA Y OPERACIÓN LOGÍSTICA PARA LA EJECUCIÓN DE PROYECTOS FINANCIADOS POR EL FONDO FONSECON Y POR EL SISTEMA INTEGRADO DE EMERGENCIAS Y SEGURIDAD - SIES.</t>
  </si>
  <si>
    <t>SPSCC Realizar seguimiento a proyectos de Sistemas Integrados de emergencia y seguridad - SIES</t>
  </si>
  <si>
    <t>SPSCC Adquisición soporte y mantenimiento plataforma – BPM - Auraquantic en cumplimiento al anexo técnico dispuesto por la entidad.</t>
  </si>
  <si>
    <t>SPSCC ADQUISICIÓN DE EQUIPOS DE COMUNICACIÓN MOTOROLA PARA EL FORTALECIMIENTO DE LA RED DE COMUNICACIONES DEL COMANDO GENERAL DE LAS FUERZAS MILITARES - COMANDO CONJUNTO DE OPERACIONES ESPECIALES - CCOES</t>
  </si>
  <si>
    <t>46171625;52161511;43191510;43233002</t>
  </si>
  <si>
    <t>SPSCC ADQUISICIÓN DE EQUIPOS PARA EL FORTALECIMIENTO DE LAS COMUNICACIONES MILITARES SEGURAS, MULTIBANDA Y MANDO Y CONTROL EN  AREAS DE RESPONSABILIDAD OPERACIONAL DE LA ARMADA NACIONAL.</t>
  </si>
  <si>
    <t>SPSCC AUNAR ESFUERZOS TÉCNICOS, ADMINISTRATIVOS Y FINANCIEROS ENTRE LAS PARTES PARA DESARROLLAR LOS ESTUDIOS, DISEÑOS Y CONSTRUCCIÓN DEL CENTRO ADMINISTRATIVO MUNICIPAL DEL MUNICIPIO DE  MALLAMA - NARIÑO</t>
  </si>
  <si>
    <t>SPSCC AUNAR ESFUERZOS TÉCNICOS, ADMINISTRATIVOS Y FINANCIEROS ENTRE LAS PARTES PARA DESARROLLAR LOS ESTUDIOS, DISEÑOS Y CONSTRUCCIÓN DEL CENTRO ADMINISTRATIVO MUNICIPAL DEL MUNICIPIO DE GUAPI - CAUCA</t>
  </si>
  <si>
    <t>SPSCC AUNAR ESFUERZOS TÉCNICOS, ADMINISTRATIVOS Y FINANCIEROS ENTRE LAS PARTES PARA DESARROLLAR LOS ESTUDIOS, DISEÑOS Y CONSTRUCCIÓN DEL CENTRO ADMINISTRATIVO MUNICIPAL DEL MUNICIPIO DE NUQUI - CHOCO</t>
  </si>
  <si>
    <t>SPSCC AUNAR ESFUERZOS TÉCNICOS, ADMINISTRATIVOS Y FINANCIEROS ENTRE LAS PARTES PARA DESARROLLAR LOS ESTUDIOS, DISEÑOS Y CONSTRUCCIÓN DEL CENTRO ADMINISTRATIVO MUNICIPAL DEL MUNICIPIO DE CONSACA - NARIÑO</t>
  </si>
  <si>
    <t>SPSCC AUNAR ESFUERZOS TÉCNICOS, ADMINISTRATIVOS Y FINANCIEROS ENTRE LAS PARTES PARA DESARROLLAR LOS ESTUDIOS, DISEÑOS Y CONSTRUCCIÓN DEL CENTRO ADMINISTRATIVO MUNICIPAL DEL MUNICIPIO DE AGUAZUL - CASANARE</t>
  </si>
  <si>
    <t>SPSCC AUNAR ESFUERZOS TÉCNICOS,ADMINISTRATIVOS Y FINANCIEROS ENTRE LAS PARTES PARA DESARROLLAR LA CONSTRUCCIÓN DEL CENTRO ADMINISTRATIVO MUNICIPAL DEL MUNICIPIO DE MOCOA - PUTUMAYO</t>
  </si>
  <si>
    <t>80101601;81101508</t>
  </si>
  <si>
    <t>SPSCC Prestar los servicios de consultoría para realizar el diagnostico, análisis, validación y emisión de concepto acerca del costo directo o indirecto en los contratos de obra pública ejecutados por la Subdirección de Proyectos para la Seguridad y la Convivencia Ciudadana, en el marco del cumplimiento de una acción de mejora planteada con ocasión del INFORME DE AUDITORÍA FINANCIERA - CONTRALORÍA GENERAL DE LA REPÚBLICA VIGENCIA FISCAL 2022.</t>
  </si>
  <si>
    <t>SPSCC FORTALECIMENTO DE LA SEGURIDAD Y CONVIVENCIA CIUDADANA A TRAVÉS DE LAS OPERACIONES DE CCTV, SISTEMAS DE EMERGENCIAS Y SEGURIDAD, SUBSISTEMA CIRCUITO CERRADO DE TELEVISIÓN Y CENTRO DE MONITOREO DE OPERACIONES EN EL DEPARTAMENTO DEL CAUCA</t>
  </si>
  <si>
    <t>SPSCC ESTUDIOS, DISEÑOS E IMPLEMENTACIÓN DEL PROYECTO PARA EL FORTALECIMIENTO DE LA SEGURIDAD Y CONVIVENCIA TERRITORAL – SCT</t>
  </si>
  <si>
    <t>SPSCC SISTEMA INTEGRADO INTELIGENTE DE SEGURIDAD Y CONVIVENCIA CIUDADANA DEL DEPARTAMENTO DE CASANARE FASE I</t>
  </si>
  <si>
    <t>SPSCC IMPLEMENTACIÓN DE LA PLATAFORMA TECNOLOGICA AVANZADA PARA LA TOMA DE DECISIONES BASADA EN DATOS, ENFOCADA EN MEJORAR LA CONVIVENCIA Y SEGURIDAD CIUDADANA, APOYANDO A LOS COMANDANTES DE POLICIA Y BOBIERNOS LOCALES DESDE LA ADQUISICIÓN DE HARDWARE Y DESARROLLO DE SOFTWARE PARA LA INTELIGENCIA ARTIFICIAL IA.</t>
  </si>
  <si>
    <t>SPSCC AUNAR ESFUERZOS TÉCNICOS, ADTIVOS Y FINANCIEROS ENTRE LAS PARTES PARA PROMOVER LOS ESTUDIOS, DISEÑOS Y CONSTRUCCIÓN DEL CENTRO ADMINISTRATIVO MUNICIPAL</t>
  </si>
  <si>
    <t>25101702;25101801</t>
  </si>
  <si>
    <t>SPSCC FORTALECIMIENTO DE LA SEGURIDAD Y LA CONVIVENCIA CIUDADANA, A TRAVÉS DE LA ADQUISICIÓN DE MOVILIDAD, CON DESTINO A LA POLICIA NACIONAL DE COLOMBIA</t>
  </si>
  <si>
    <t>SPSCC FORTALECIMIENTO DE LA SEGURIDAD Y LA CONVIVENCIA CIUDADANA, A TRAVÉS DE LA ADQUISICIÓN DE MOVILIDAD, CON DESTINO AL EJERCITO NACIONAL DE COLOMBIA</t>
  </si>
  <si>
    <t>84131510;84131605</t>
  </si>
  <si>
    <t>SPSCC Seguro de Grupo Vida y Accidentes Personales de los miembros Voluntarios de las Entidades Operativas del Sistema Nacional para la Prevención y Atención de Desastres — CRUZ ROJA COLOMBIANA, DEFENSA CIVIL COLOMBIANA Y BOMBEROS DE COLOMBIA para la vigencia de un (1) año.</t>
  </si>
  <si>
    <t>43191510;46171625</t>
  </si>
  <si>
    <t>SPSCC FORTALECIMIENTO DE CAPACIDADES DE COMUNICACION MEDIANTE LA ADQUISICIÓN, INSTALACIÓN, INTEGRACION DE LA RED DE RADIOS DE MISION CRITICA DE LA POLICÍA NACIONAL.</t>
  </si>
  <si>
    <t>81111500;43201815;43201500;43221700;43223205;43223209;46171600</t>
  </si>
  <si>
    <t>SPSCC AUNAR ESFUERZOS TÉCNICOS, ADMINISTRATIVOS, OPERATIVOS Y FINANCIEROS PARA LA EJECUCIÓN DE PROYECTOS DE TECNOLOGÍA PARA LA SEGURIDAD, FINANCIADOS Y/O COFINACIADOS POR EL FONDO NACIONAL DE SEGURIDAD Y CONVIVENCIA CIUDADANA – FONSECON</t>
  </si>
  <si>
    <t>SPSCC AUNAR ESFUERZOS TÉCNICOS, ADMINISTRATIVOS Y FINANCIEROS  PARA LA EJECUCION DEL PROYECTO DE   MODERNIZACION DE LA INFRAESTRUCTURA TECNOLÓGICA DEL COMANDO GENERAL DE LAS FUERZAS MILITARES</t>
  </si>
  <si>
    <t>SPSCC AUNAR ESFUERZOS TÉCNICOS, ADMINISTRATIVOS Y FINANCIEROS PARA LA EJECUCION DEL PROYECTO DE INFRAESTRUCTURA PARA LA CONVIVENCIA - TIPO 2B ,   EN EL MUNICIPIO DEL CARMEN DE APICALA  - TOLIMA</t>
  </si>
  <si>
    <t>SPSCC AUNAR ESFUERZOS TÉCNICOS, ADMINISTRATIVOS Y FINANCIEROS PARA DESARROLLAR LOS ESTUDIOS, DISEÑOS Y CONSTRUCCIÓN DEL CENTRO ADMINISTRATIVO MUNICIPAL DEL MUNICIPIO GUACHUCAL - NARIÑO.</t>
  </si>
  <si>
    <t>SPSCC AUNAR ESFUERZOS TÉCNICOS, ADMINISTRATIVOS Y FINANCIEROS  PARA DESARROLLAR LOS ESTUDIOS, DISEÑOS Y CONSTRUCCIÓN DEL CENTRO ADMINISTRATIVO MUNICIPAL DEL MUNICIPIO CONTADERO - NARIÑO.</t>
  </si>
  <si>
    <t>SPSCC AUNAR ESFUERZOS TÉCNICOS, ADMINISTRATIVOS Y FINANCIEROS  PARA DESARROLLAR LOS ESTUDIOS, DISEÑOS Y CONSTRUCCIÓN DEL CENTRO ADMINISTRATIVO MUNICIPAL DEL MUNICIPIO CHACHAGUI - NARIÑO.</t>
  </si>
  <si>
    <t>SPSCC AUNAR ESFUERZOS TÉCNICOS, ADMINISTRATIVOS Y FINANCIEROS  PARA DESARROLLAR LOS ESTUDIOS, DISEÑOS Y CONSTRUCCIÓN DEL CENTRO ADMINISTRATIVO MUNICIPAL DEL MUNICIPIO ARATOCA - SANTANDER.</t>
  </si>
  <si>
    <t>45121500;46171600</t>
  </si>
  <si>
    <t xml:space="preserve">SPSCC AUNAR ESFUERZOS TÉCNICOS, ADMINISTRATIVOS Y FINANCIEROS  PARA LA IIMPLEMENTACIÓN DEL SISTEMA INTEGRADO INTELIGENTE DE SEGURIDAD Y CONVIVENCIA CIUDADANA DEL DEPARTAMENTO DE CASANARE – FASE I. </t>
  </si>
  <si>
    <t>SPSCC AUNAR ESFUERZOS TECNICOS ADMINISTRATIVOS Y FINANCIEROS PARA LA CONSTRUCCION DEL CENTRO ADMINISTRATIVO MUNICIPAL DEL MUNICIPIO DE NUQUI DEPARTAMENTO DEL CHOCO.</t>
  </si>
  <si>
    <t>SPSCC AUNAR ESFUERZOS TÉCNICOS, ADMINISTRATIVOS, OPERATIVOS Y FINANCIEROS PARA LA EJECUCIÓN DEL PROYECTO DENOMINADO PLATAFORMA  DE ANTICIPACION OCTOGONAL(PLATANO), EN EL MARCO DEL ACUERDO MARCO N°1782 DE 2024</t>
  </si>
  <si>
    <t>SPSCC AUNAR ESFUERZOS TÉCNICOS, OPERATIVOS,ADMINISTRATIVOS Y FINANCIEROS  PARA LA EJECUCION DEL PROYECTO DE   MODERNIZACION DE LA INFRAESTRUCTURA TECNOLÓGICA DEL SISTEMA DE CONECTIVIDAD TERRESTRE DEL COMANDO GENERAL DE LAS FUERZAS MILITARES,  EN EL MARCO DEL ACUERDO MARCO N°1782 DE 2024</t>
  </si>
  <si>
    <t>81111500;43201815;43201500:43221700;43223205;43223209;46171600</t>
  </si>
  <si>
    <t>SPSCC Realizar el desarrollo e implementación del proyecto para la Seguridad y Convivencia territorial del municipio de Pereira del departamento de Risaralda</t>
  </si>
  <si>
    <t>SPSCC Realizar el desarrollo e implementación del proyecto para la Seguridad y Convivencia territorial del municipio de Pasto del departamento de Nariño</t>
  </si>
  <si>
    <t>SPSCC Realizar el desarrollo e implementación del proyecto para la Seguridad y Convivencia territorial del municipio de  Villa de Leyva del departamento Boyacá</t>
  </si>
  <si>
    <t>SPSCC Realizar el desarrollo e implementación del proyecto para la Seguridad y Convivencia territorial de San Andrés</t>
  </si>
  <si>
    <t>SPSCCRealizar el desarrollo e implementación del proyecto para la Seguridad y Convivencia territorial del municipio de Montería del departamento de Córdoba</t>
  </si>
  <si>
    <t>SPSCCRealizar el desarrollo e implementación del proyecto para la Seguridad y Convivencia territorial del municipio de Buenaventura del departamento de valle del cauca</t>
  </si>
  <si>
    <t>SPSCCRealizar el desarrollo e implementación del proyecto para la Seguridad y Convivencia territorial del municipio de Caldas del departamento de Antioquia</t>
  </si>
  <si>
    <t>SPSCC Realizar el desarrollo e implementación del proyecto para la Seguridad y Convivencia territorial del municipio de  Jamundí del departamento de Valle del cauca </t>
  </si>
  <si>
    <t>SPSCC Realizar el desarrollo e implementación del proyecto para la Seguridad y Convivencia territorial del municipio de Cali del departamento Valle del Cauca </t>
  </si>
  <si>
    <t>SPSCC Realizar el desarrollo e implementación del proyecto para la Seguridad y Convivencia territorial del municipio del Guamo del departamento de Tolima</t>
  </si>
  <si>
    <t>SPSCC  Realizar el desarrollo e implementación de la plataforma de anticipación octagonal (Plátano)</t>
  </si>
  <si>
    <t>SPSCC Realizar la ejecución del proyecto de modernización de la infraestructura tecnológica del Comando General de las Fuerzas Militares</t>
  </si>
  <si>
    <t>1. Fortalecer las Entidades Territoriales con nuevas obras de infraestructura y movilidad ejecutadas para la convivencia y la seguridad ciudadana</t>
  </si>
  <si>
    <t>43221706;43221709;43221712;43221715;43221718;43221727;72154001;32101500;43221706;
43221721</t>
  </si>
  <si>
    <t>SPSCC Contratar la modernización de la infraestructura tecnológica requerida para el sistema de conectividad terrestre del Comando General de las Fuerzas Militares</t>
  </si>
  <si>
    <t>Sergio Sanjuan Santiago</t>
  </si>
  <si>
    <t>sergio.sanjuan@mininterior.gov.co</t>
  </si>
  <si>
    <t>SPSCC-FORTALECER LA CONSTRUCCIÓN DE TERRITORIOS MÁS SEGUROS Y EN PAZ MEDIANTE EL DESARROLLO DEL PROYECTO DEL SISTEMA INTEGRADO DE EMERGENCIAS Y SEGURIDAD (SIES) PARA EL MUNICIPIO DE VILLA DE LEYVA, EN EL DEPARTAMENTO DE BOYACA</t>
  </si>
  <si>
    <t>SPSCC-FORTALECER LA CONSTRUCCIÓN DE TERRITORIOS MÁS SEGUROS Y EN PAZ MEDIANTE EL DESARROLLO DEL PROYECTO DEL SISTEMA INTEGRADO DE EMERGENCIAS Y SEGURIDAD (SIES) PARA EL MUNICIPIO DE BUENAVENTURA, EN EL DEPARTAMENTO DEL VALLE DEL CAUCA</t>
  </si>
  <si>
    <t>80101604
25101611
25101501
25101502
25101905
25101702
25101700</t>
  </si>
  <si>
    <t>SPSCC-Aunar esfuerzos técnicos, administrativos y financieros entre el Ministerio del Interior - FONSECON y DISTRISEGURIDAD para el fortalecimiento de las condiciones de Movilidad de la Policía Metropolitana de Cartagena - MECAR.</t>
  </si>
  <si>
    <t>SPSCC-Contratar el desarrollo e implementación de un sistema integral de Anti Drones (Contra Aeronaves No Tripuladas C-UAS) para el Comando General de las Fuerzas Militares del ejército Nacional.</t>
  </si>
  <si>
    <t>SPSCC-FORTALECER LA CONSTRUCCIÓN DE TERRITORIOS MÁS SEGUROS Y EN PAZ MEDIANTE EL DESARROLLO DEL PROYECTO DEL SISTEMA INTEGRADO DE EMERGENCIAS Y SEGURIDAD (SIES) PARA EL MUNICIPIO DE PAMPLONA, EN EL DEPARTAMENTO DE NORTE DE SANTANDER</t>
  </si>
  <si>
    <t>SPSCC-FORTALECER LA CONSTRUCCIÓN DE TERRITORIOS MÁS SEGUROS Y EN PAZ MEDIANTE EL DESARROLLO DEL PROYECTO DEL SISTEMA INTEGRADO DE EMERGENCIAS Y SEGURIDAD (SIES) PARA EL MUNICIPIO DE PASTO, EN EL DEPARTAMENTO DE NARIÑO</t>
  </si>
  <si>
    <t>SPSCC-FORTALECER LA CONSTRUCCIÓN DE TERRITORIOS MÁS SEGUROS Y EN PAZ MEDIANTE EL DESARROLLO DEL PROYECTO DEL SISTEMA INTEGRADO DE EMERGENCIAS Y SEGURIDAD (SIES) PARA EL MUNICIPIO DE JAMUNDI, EN EL DEPARTAMENTO DEL VALLE DEL CAUCA</t>
  </si>
  <si>
    <t>SPSCC Contratar el desarrollo e implementación de un sistema integral de Anti Drones (Contra Aeronaves No Tripuladas C-UAS) para el Ejército Nacional.</t>
  </si>
  <si>
    <t>VDG</t>
  </si>
  <si>
    <t>Aumentar las capacidades de diálogo social de las comunidades e instituciones.</t>
  </si>
  <si>
    <t>C-3701-1000-40</t>
  </si>
  <si>
    <t>VDG Contratación de Servicios Profesionales, asistenciales y técnicos como apoyo a la gestión del Ministerio del Interior</t>
  </si>
  <si>
    <t>Lilia Clemencia Solano ramirez</t>
  </si>
  <si>
    <t>lilia.solano@mininterior.gov.co</t>
  </si>
  <si>
    <t>VDG Prestar los servicios de asistencia técnica, jurídica, administrativa y financiera, para la implementación de las iniciativas comunitarias, con cargo al Banco de Proyectos del Viceministerio para el Dialogo Social, la Igualdad y los Derechos Humano del Ministerio del Interior.</t>
  </si>
  <si>
    <t xml:space="preserve">VDG Implementar una plataforma digital para el cargue de información de los compromisos de los escenarios de Diálogo Social </t>
  </si>
  <si>
    <t>VDG Prestar los servicios de operación logística para llevar a cabo la organización, producción y ejecución de los eventos, encuentros y demás actividades logísticas que se requieran para el desarrollo de las funciones, planes, programas y metas del Ministerio del Interior.</t>
  </si>
  <si>
    <t>82121504;82141501</t>
  </si>
  <si>
    <t>VDG Brindar asistencia técnica al Vieministerio de Diálogo Social, la Igualdad y los Derechos Humanos para realizar Impresiones litrograficas con el fin de socializar la política pública de  Dialogo Social.</t>
  </si>
  <si>
    <t>VDG Llevar a cabo la realización del  Curso de Formación en Dialogo Social</t>
  </si>
  <si>
    <t>82101500;82101600;82101800;82101900</t>
  </si>
  <si>
    <t>VDG Implementar una estrategia de comunicación en torno a la política pública de Diálogo Social</t>
  </si>
  <si>
    <t>Hector Gabriel rondon Olave</t>
  </si>
  <si>
    <t>gabriel.rondon@miniterior.gov.co</t>
  </si>
  <si>
    <t>VDG Suministrar el transporte aéreo en vuelos Nacionales e Internacionales para los funcionarios, contratistas del Ministerio del Interior y funcionarios de la Policía Nacional que prestan sus servicios de protección y seguridad en el Ministerio del Interior.</t>
  </si>
  <si>
    <t>VDG Adquisición de un sistema de infraestructura hiperconvergente (HCI), en cumplimiento de las especificaciones técnicas determinadas en el anexo dispuesto por la Entidad</t>
  </si>
  <si>
    <t>78111500;78111800;90111500</t>
  </si>
  <si>
    <t xml:space="preserve">  </t>
  </si>
  <si>
    <t>Código UNSPSC (cada código separado por ;)</t>
  </si>
  <si>
    <t>Cupo de VF aprobadas 2022, comprometidas 2022</t>
  </si>
  <si>
    <t>Vigencia 2023</t>
  </si>
  <si>
    <t>Cupo de VF aprobadas 2023, por comprometer 2024</t>
  </si>
  <si>
    <t>Contratación de Servicios Profesionales, Asistenciales y Técnicos como apoyo a la gestión del Ministerio del Interior.</t>
  </si>
  <si>
    <t>Contratación directa</t>
  </si>
  <si>
    <t>Bogotá</t>
  </si>
  <si>
    <t>CO-DC-11001</t>
  </si>
  <si>
    <t xml:space="preserve">JUAN MANUEL REYES </t>
  </si>
  <si>
    <t>juan.reyes@mininterior.gov.co</t>
  </si>
  <si>
    <t xml:space="preserve">Notas </t>
  </si>
  <si>
    <t>1. Casilla Programa Plan de Acción: Describir el programa conforme se encuentra en el Plan de Acción</t>
  </si>
  <si>
    <t>2. Casilla Plan de Acción: Describir la meta conforme se encuentra en el Plan de Acción</t>
  </si>
  <si>
    <t>3. Casilla Rubro Presupuestal: Definir código de acuerdo al SIIF Nación y nombre de Rubro Presupuestal.</t>
  </si>
  <si>
    <t xml:space="preserve"> </t>
  </si>
  <si>
    <t>Elaboró</t>
  </si>
  <si>
    <t>Visto Bueno</t>
  </si>
  <si>
    <t>Aprueba</t>
  </si>
  <si>
    <t>Sergio Mauricio Arciniegas</t>
  </si>
  <si>
    <t>DORIS CLEMENCIA MONROY PATIÑO</t>
  </si>
  <si>
    <t>JUAN MANUEL REYES ALVAREZ</t>
  </si>
  <si>
    <t xml:space="preserve">Jefe Oficina Asesora de Planeación </t>
  </si>
  <si>
    <t xml:space="preserve">Sudirector de Gestión Contractual </t>
  </si>
  <si>
    <t xml:space="preserve">Ordenador del Gasto </t>
  </si>
  <si>
    <t>La Oficina Asesora de Planeación emite Visto Bueno sobre la coherencia</t>
  </si>
  <si>
    <t>del Plan Anual de Adquisiciones con las Iniciativas del Plan de Acción.</t>
  </si>
  <si>
    <t>Revisó y Aprobó</t>
  </si>
  <si>
    <t>Revisa</t>
  </si>
  <si>
    <t>Nombre y Cargo</t>
  </si>
  <si>
    <t>Diego Edixon Karachas Rodríguez</t>
  </si>
  <si>
    <t>diego.karachas@mininterior.gov.co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</si>
</sst>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quot;$&quot;#,##0;\-&quot;$&quot;#,##0"/>
    <numFmt numFmtId="166" formatCode="_-&quot;$&quot;* #,##0_-;\-&quot;$&quot;* #,##0_-;_-&quot;$&quot;* &quot;-&quot;_-;_-@_-"/>
    <numFmt numFmtId="167" formatCode="_-&quot;$&quot;* #,##0.00_-;\-&quot;$&quot;* #,##0.00_-;_-&quot;$&quot;* &quot;-&quot;??_-;_-@_-"/>
    <numFmt numFmtId="168" formatCode="&quot;$&quot;\ #,##0.00"/>
    <numFmt numFmtId="169" formatCode="_-\$* #,##0_-;&quot;-$&quot;* #,##0_-;_-\$* \-_-;_-@_-"/>
    <numFmt numFmtId="170" formatCode="_(&quot;$ &quot;* #,##0_);_(&quot;$ &quot;* \(#,##0\);_(&quot;$ &quot;* \-_);_(@_)"/>
    <numFmt numFmtId="171" formatCode="&quot;$&quot;#,##0"/>
    <numFmt numFmtId="172" formatCode="0_ ;\-0\ "/>
    <numFmt numFmtId="173" formatCode="_-&quot;$&quot;* #,##0_-;\-&quot;$&quot;* #,##0_-;_-&quot;$&quot;* &quot;-&quot;??_-;_-@_-"/>
    <numFmt numFmtId="174" formatCode="&quot;$&quot;\ #,##0;[Red]&quot;$&quot;\ #,##0"/>
  </numFmts>
  <fonts count="42" x14ac:knownFonts="1">
    <font>
      <sz val="11"/>
      <color theme="1"/>
      <name val="Calibri"/>
      <family val="2"/>
      <scheme val="minor"/>
    </font>
    <font>
      <sz val="11"/>
      <color theme="1"/>
      <name val="Calibri"/>
      <family val="2"/>
      <scheme val="minor"/>
    </font>
    <font>
      <b/>
      <sz val="10"/>
      <name val="Verdana"/>
      <family val="2"/>
    </font>
    <font>
      <sz val="10"/>
      <name val="Verdana"/>
      <family val="2"/>
    </font>
    <font>
      <sz val="10"/>
      <name val="Arial"/>
      <family val="2"/>
    </font>
    <font>
      <sz val="12"/>
      <color theme="1"/>
      <name val="Arial"/>
      <family val="2"/>
    </font>
    <font>
      <u/>
      <sz val="11"/>
      <color theme="10"/>
      <name val="Calibri"/>
      <family val="2"/>
      <scheme val="minor"/>
    </font>
    <font>
      <b/>
      <sz val="12"/>
      <name val="Arial"/>
      <family val="2"/>
    </font>
    <font>
      <sz val="11"/>
      <name val="Arial"/>
      <family val="2"/>
    </font>
    <font>
      <b/>
      <sz val="12"/>
      <color rgb="FF000000"/>
      <name val="Arial"/>
      <family val="2"/>
    </font>
    <font>
      <sz val="11"/>
      <color indexed="8"/>
      <name val="Calibri"/>
      <family val="2"/>
      <charset val="1"/>
    </font>
    <font>
      <sz val="10"/>
      <name val="Verdana"/>
      <family val="2"/>
      <charset val="1"/>
    </font>
    <font>
      <sz val="11"/>
      <color theme="1"/>
      <name val="Arial"/>
      <family val="2"/>
    </font>
    <font>
      <sz val="12"/>
      <name val="Arial"/>
      <family val="2"/>
    </font>
    <font>
      <sz val="10"/>
      <color theme="1"/>
      <name val="Arial"/>
      <family val="2"/>
    </font>
    <font>
      <sz val="11"/>
      <color indexed="9"/>
      <name val="Calibri"/>
      <family val="2"/>
      <charset val="1"/>
    </font>
    <font>
      <u/>
      <sz val="10"/>
      <color theme="10"/>
      <name val="Calibri"/>
      <family val="2"/>
      <scheme val="minor"/>
    </font>
    <font>
      <sz val="12"/>
      <color indexed="8"/>
      <name val="Arial"/>
      <family val="2"/>
    </font>
    <font>
      <u/>
      <sz val="12"/>
      <color indexed="12"/>
      <name val="Arial"/>
      <family val="2"/>
    </font>
    <font>
      <sz val="11"/>
      <color theme="1"/>
      <name val="Calibri"/>
      <family val="2"/>
    </font>
    <font>
      <sz val="11"/>
      <color rgb="FF000000"/>
      <name val="Arial"/>
      <family val="2"/>
    </font>
    <font>
      <sz val="12"/>
      <color rgb="FF000000"/>
      <name val="Arial"/>
      <family val="2"/>
    </font>
    <font>
      <b/>
      <sz val="11"/>
      <color rgb="FF000000"/>
      <name val="Arial"/>
      <family val="2"/>
    </font>
    <font>
      <sz val="11"/>
      <color rgb="FF000000"/>
      <name val="Arial"/>
      <family val="2"/>
    </font>
    <font>
      <u/>
      <sz val="11"/>
      <color theme="10"/>
      <name val="Arial"/>
      <family val="2"/>
    </font>
    <font>
      <u/>
      <sz val="11"/>
      <color theme="10"/>
      <name val="Arial"/>
      <family val="2"/>
    </font>
    <font>
      <sz val="11"/>
      <color rgb="FF000000"/>
      <name val="Arial"/>
      <family val="2"/>
    </font>
    <font>
      <u/>
      <sz val="11"/>
      <color theme="10"/>
      <name val="Arial"/>
      <family val="2"/>
    </font>
    <font>
      <b/>
      <sz val="16"/>
      <color rgb="FFCC0000"/>
      <name val="Arial"/>
      <family val="2"/>
    </font>
    <font>
      <b/>
      <sz val="12"/>
      <color rgb="FFCC0000"/>
      <name val="Arial"/>
      <family val="2"/>
    </font>
    <font>
      <b/>
      <u/>
      <sz val="12"/>
      <color rgb="FFCC0000"/>
      <name val="Arial"/>
      <family val="2"/>
    </font>
    <font>
      <b/>
      <sz val="12"/>
      <color theme="0"/>
      <name val="Arial"/>
      <family val="2"/>
    </font>
    <font>
      <sz val="11"/>
      <color theme="1"/>
      <name val="Calibri"/>
      <family val="2"/>
      <scheme val="minor"/>
    </font>
    <font>
      <sz val="11"/>
      <color rgb="FFFF0000"/>
      <name val="Arial"/>
      <family val="2"/>
    </font>
    <font>
      <sz val="11"/>
      <name val="Times New Roman"/>
      <family val="1"/>
    </font>
    <font>
      <sz val="10.5"/>
      <name val="Arial"/>
      <family val="2"/>
    </font>
    <font>
      <u/>
      <sz val="11"/>
      <name val="Calibri"/>
      <family val="2"/>
      <scheme val="minor"/>
    </font>
    <font>
      <u/>
      <sz val="11"/>
      <name val="Arial"/>
      <family val="2"/>
    </font>
    <font>
      <sz val="11"/>
      <name val="Calibri"/>
      <family val="2"/>
      <scheme val="minor"/>
    </font>
    <font>
      <sz val="11"/>
      <name val="Arial Narrow"/>
      <family val="2"/>
    </font>
    <font>
      <sz val="11"/>
      <name val="Aptos Narrow"/>
      <family val="2"/>
    </font>
    <font>
      <u/>
      <sz val="11"/>
      <name val="Aptos Narrow"/>
      <family val="2"/>
    </font>
  </fonts>
  <fills count="11">
    <fill>
      <patternFill patternType="none"/>
    </fill>
    <fill>
      <patternFill patternType="gray125"/>
    </fill>
    <fill>
      <patternFill patternType="solid">
        <fgColor rgb="FFDBE5F1"/>
        <bgColor indexed="64"/>
      </patternFill>
    </fill>
    <fill>
      <patternFill patternType="solid">
        <fgColor rgb="FF808080"/>
        <bgColor indexed="64"/>
      </patternFill>
    </fill>
    <fill>
      <patternFill patternType="solid">
        <fgColor indexed="49"/>
        <bgColor indexed="40"/>
      </patternFill>
    </fill>
    <fill>
      <patternFill patternType="solid">
        <fgColor theme="4" tint="0.39997558519241921"/>
        <bgColor rgb="FFFFFF99"/>
      </patternFill>
    </fill>
    <fill>
      <patternFill patternType="solid">
        <fgColor theme="4" tint="0.39997558519241921"/>
        <bgColor indexed="64"/>
      </patternFill>
    </fill>
    <fill>
      <patternFill patternType="solid">
        <fgColor theme="0" tint="-0.249977111117893"/>
        <bgColor rgb="FFDBE5F1"/>
      </patternFill>
    </fill>
    <fill>
      <patternFill patternType="solid">
        <fgColor theme="4" tint="0.59999389629810485"/>
        <bgColor indexed="64"/>
      </patternFill>
    </fill>
    <fill>
      <patternFill patternType="solid">
        <fgColor rgb="FFAC0000"/>
        <bgColor rgb="FFFFFF99"/>
      </patternFill>
    </fill>
    <fill>
      <patternFill patternType="solid">
        <fgColor theme="0" tint="-0.14999847407452621"/>
        <bgColor rgb="FFDBE5F1"/>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style="thin">
        <color indexed="64"/>
      </left>
      <right/>
      <top style="medium">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52">
    <xf numFmtId="0" fontId="0" fillId="0" borderId="0"/>
    <xf numFmtId="0" fontId="2" fillId="2" borderId="0">
      <alignment horizontal="center" vertical="center"/>
    </xf>
    <xf numFmtId="49" fontId="3" fillId="0" borderId="0">
      <alignment horizontal="left" vertical="center"/>
    </xf>
    <xf numFmtId="3" fontId="3" fillId="0" borderId="0">
      <alignment horizontal="right" vertical="center"/>
    </xf>
    <xf numFmtId="0" fontId="2" fillId="3" borderId="1">
      <alignment horizontal="left" vertical="center" wrapText="1"/>
    </xf>
    <xf numFmtId="0" fontId="6" fillId="0" borderId="0" applyNumberFormat="0" applyFill="0" applyBorder="0" applyAlignment="0" applyProtection="0"/>
    <xf numFmtId="0" fontId="1" fillId="0" borderId="0"/>
    <xf numFmtId="164"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9" fontId="10" fillId="0" borderId="0" applyBorder="0" applyProtection="0"/>
    <xf numFmtId="170" fontId="10" fillId="0" borderId="0" applyBorder="0" applyProtection="0"/>
    <xf numFmtId="166" fontId="1" fillId="0" borderId="0" applyFont="0" applyFill="0" applyBorder="0" applyAlignment="0" applyProtection="0"/>
    <xf numFmtId="0" fontId="15" fillId="4" borderId="0" applyBorder="0" applyProtection="0"/>
    <xf numFmtId="49" fontId="11" fillId="0" borderId="0">
      <alignment horizontal="left" vertical="center"/>
    </xf>
    <xf numFmtId="166"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0" fontId="23" fillId="0" borderId="0"/>
    <xf numFmtId="0" fontId="24" fillId="0" borderId="0" applyNumberFormat="0" applyFill="0" applyBorder="0" applyAlignment="0" applyProtection="0"/>
    <xf numFmtId="43" fontId="20" fillId="0" borderId="0" applyFont="0" applyFill="0" applyBorder="0" applyAlignment="0" applyProtection="0"/>
    <xf numFmtId="0" fontId="1" fillId="0" borderId="0"/>
    <xf numFmtId="0" fontId="25" fillId="0" borderId="0" applyNumberFormat="0" applyFill="0" applyBorder="0" applyAlignment="0" applyProtection="0"/>
    <xf numFmtId="0" fontId="1" fillId="0" borderId="0"/>
    <xf numFmtId="0" fontId="20" fillId="0" borderId="0"/>
    <xf numFmtId="0" fontId="8" fillId="0" borderId="0"/>
    <xf numFmtId="0" fontId="8" fillId="0" borderId="0"/>
    <xf numFmtId="41" fontId="23" fillId="0" borderId="0" applyFont="0" applyFill="0" applyBorder="0" applyAlignment="0" applyProtection="0"/>
    <xf numFmtId="44" fontId="23" fillId="0" borderId="0" applyFont="0" applyFill="0" applyBorder="0" applyAlignment="0" applyProtection="0"/>
    <xf numFmtId="0" fontId="26" fillId="0" borderId="0"/>
    <xf numFmtId="41" fontId="26" fillId="0" borderId="0" applyFont="0" applyFill="0" applyBorder="0" applyAlignment="0" applyProtection="0"/>
    <xf numFmtId="0" fontId="20" fillId="0" borderId="0"/>
    <xf numFmtId="0" fontId="20" fillId="0" borderId="0"/>
    <xf numFmtId="0" fontId="1" fillId="0" borderId="0"/>
    <xf numFmtId="0" fontId="6" fillId="0" borderId="0" applyNumberFormat="0" applyFill="0" applyBorder="0" applyAlignment="0" applyProtection="0"/>
    <xf numFmtId="0" fontId="27" fillId="0" borderId="0" applyNumberFormat="0" applyFill="0" applyBorder="0" applyAlignment="0" applyProtection="0"/>
    <xf numFmtId="44" fontId="20" fillId="0" borderId="0" applyFont="0" applyFill="0" applyBorder="0" applyAlignment="0" applyProtection="0"/>
    <xf numFmtId="0" fontId="1" fillId="0" borderId="0"/>
    <xf numFmtId="0" fontId="20" fillId="0" borderId="0"/>
    <xf numFmtId="43" fontId="26" fillId="0" borderId="0" applyFont="0" applyFill="0" applyBorder="0" applyAlignment="0" applyProtection="0"/>
    <xf numFmtId="0" fontId="1" fillId="0" borderId="0"/>
    <xf numFmtId="0" fontId="6" fillId="0" borderId="0" applyNumberFormat="0" applyFill="0" applyBorder="0" applyAlignment="0" applyProtection="0"/>
    <xf numFmtId="0" fontId="32" fillId="0" borderId="0"/>
    <xf numFmtId="0" fontId="1" fillId="0" borderId="0"/>
    <xf numFmtId="0" fontId="20"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cellStyleXfs>
  <cellXfs count="269">
    <xf numFmtId="0" fontId="0" fillId="0" borderId="0" xfId="0"/>
    <xf numFmtId="0" fontId="4" fillId="0" borderId="0" xfId="0" applyFont="1"/>
    <xf numFmtId="0" fontId="4" fillId="0" borderId="0" xfId="0" applyFont="1" applyProtection="1">
      <protection locked="0"/>
    </xf>
    <xf numFmtId="1" fontId="4" fillId="0" borderId="0" xfId="0" applyNumberFormat="1" applyFont="1" applyProtection="1">
      <protection locked="0"/>
    </xf>
    <xf numFmtId="0" fontId="12" fillId="0" borderId="0" xfId="0" applyFont="1" applyAlignment="1">
      <alignment wrapText="1"/>
    </xf>
    <xf numFmtId="0" fontId="12" fillId="0" borderId="0" xfId="0" applyFont="1"/>
    <xf numFmtId="0" fontId="17" fillId="0" borderId="0" xfId="0" applyFont="1" applyAlignment="1">
      <alignment wrapText="1"/>
    </xf>
    <xf numFmtId="0" fontId="19" fillId="0" borderId="0" xfId="0" applyFont="1"/>
    <xf numFmtId="0" fontId="9" fillId="0" borderId="0" xfId="0" applyFont="1" applyAlignment="1">
      <alignment vertical="center"/>
    </xf>
    <xf numFmtId="0" fontId="9" fillId="0" borderId="0" xfId="0" applyFont="1"/>
    <xf numFmtId="0" fontId="22" fillId="0" borderId="0" xfId="0" applyFont="1"/>
    <xf numFmtId="0" fontId="21" fillId="0" borderId="23" xfId="0" applyFont="1" applyBorder="1"/>
    <xf numFmtId="0" fontId="20" fillId="0" borderId="23" xfId="0" applyFont="1" applyBorder="1"/>
    <xf numFmtId="0" fontId="9" fillId="0" borderId="0" xfId="0" applyFont="1" applyAlignment="1">
      <alignment vertical="center" wrapText="1"/>
    </xf>
    <xf numFmtId="0" fontId="4" fillId="0" borderId="0" xfId="0" applyFont="1" applyAlignment="1" applyProtection="1">
      <alignment horizontal="center"/>
      <protection locked="0"/>
    </xf>
    <xf numFmtId="0" fontId="7" fillId="5" borderId="25" xfId="31" applyFont="1" applyFill="1" applyBorder="1" applyAlignment="1">
      <alignment horizontal="center" vertical="center" wrapText="1"/>
    </xf>
    <xf numFmtId="0" fontId="7" fillId="7" borderId="25" xfId="31" applyFont="1" applyFill="1" applyBorder="1" applyAlignment="1">
      <alignment horizontal="center" vertical="center"/>
    </xf>
    <xf numFmtId="0" fontId="7" fillId="5" borderId="16" xfId="31" applyFont="1" applyFill="1" applyBorder="1" applyAlignment="1">
      <alignment horizontal="center" vertical="center" wrapText="1"/>
    </xf>
    <xf numFmtId="0" fontId="9" fillId="5" borderId="21" xfId="31" applyFont="1" applyFill="1" applyBorder="1" applyAlignment="1">
      <alignment horizontal="center" vertical="center" wrapText="1"/>
    </xf>
    <xf numFmtId="0" fontId="9" fillId="5" borderId="22" xfId="31" applyFont="1" applyFill="1" applyBorder="1" applyAlignment="1">
      <alignment horizontal="center" vertical="center" wrapText="1"/>
    </xf>
    <xf numFmtId="0" fontId="7" fillId="7" borderId="16" xfId="31" applyFont="1" applyFill="1" applyBorder="1" applyAlignment="1">
      <alignment horizontal="justify" vertical="center"/>
    </xf>
    <xf numFmtId="0" fontId="20" fillId="0" borderId="0" xfId="0" applyFont="1"/>
    <xf numFmtId="0" fontId="21" fillId="0" borderId="0" xfId="0" applyFont="1" applyAlignment="1">
      <alignment vertical="center" wrapText="1"/>
    </xf>
    <xf numFmtId="0" fontId="21" fillId="0" borderId="0" xfId="0" applyFont="1" applyAlignment="1">
      <alignment vertical="center"/>
    </xf>
    <xf numFmtId="0" fontId="21" fillId="0" borderId="0" xfId="0" applyFont="1"/>
    <xf numFmtId="0" fontId="21" fillId="0" borderId="0" xfId="0" applyFont="1" applyAlignment="1">
      <alignment horizontal="center" vertical="center"/>
    </xf>
    <xf numFmtId="0" fontId="21" fillId="0" borderId="0" xfId="0" applyFont="1" applyAlignment="1">
      <alignment horizontal="left" vertical="center"/>
    </xf>
    <xf numFmtId="0" fontId="8" fillId="0" borderId="24" xfId="0" applyFont="1" applyBorder="1"/>
    <xf numFmtId="165" fontId="20" fillId="0" borderId="0" xfId="0" applyNumberFormat="1" applyFont="1"/>
    <xf numFmtId="0" fontId="4" fillId="0" borderId="24" xfId="0" applyFont="1" applyBorder="1"/>
    <xf numFmtId="0" fontId="19" fillId="0" borderId="24" xfId="0" applyFont="1" applyBorder="1"/>
    <xf numFmtId="0" fontId="20" fillId="0" borderId="0" xfId="0" applyFont="1" applyAlignment="1">
      <alignment horizontal="center"/>
    </xf>
    <xf numFmtId="0" fontId="9" fillId="0" borderId="0" xfId="0" applyFont="1" applyAlignment="1">
      <alignment horizontal="center" vertical="center"/>
    </xf>
    <xf numFmtId="0" fontId="8" fillId="0" borderId="15" xfId="0" applyFont="1" applyBorder="1"/>
    <xf numFmtId="0" fontId="21" fillId="0" borderId="0" xfId="0" applyFont="1" applyAlignment="1">
      <alignment horizontal="center" vertical="center" wrapText="1"/>
    </xf>
    <xf numFmtId="0" fontId="20" fillId="0" borderId="0" xfId="0" applyFont="1" applyAlignment="1">
      <alignment horizontal="center" vertical="center"/>
    </xf>
    <xf numFmtId="0" fontId="21" fillId="0" borderId="23" xfId="0" applyFont="1" applyBorder="1" applyAlignment="1">
      <alignment horizontal="center" vertical="center"/>
    </xf>
    <xf numFmtId="0" fontId="4" fillId="0" borderId="0" xfId="0" applyFont="1" applyAlignment="1">
      <alignment horizontal="center" vertical="center"/>
    </xf>
    <xf numFmtId="0" fontId="7" fillId="7" borderId="25" xfId="31" applyFont="1" applyFill="1" applyBorder="1" applyAlignment="1">
      <alignment horizontal="center" vertical="center" wrapText="1"/>
    </xf>
    <xf numFmtId="0" fontId="7" fillId="7" borderId="17" xfId="31" applyFont="1" applyFill="1" applyBorder="1" applyAlignment="1">
      <alignment horizontal="center" vertical="center" wrapText="1"/>
    </xf>
    <xf numFmtId="0" fontId="21" fillId="0" borderId="0" xfId="31" applyFont="1"/>
    <xf numFmtId="0" fontId="7" fillId="7" borderId="16" xfId="31" applyFont="1" applyFill="1" applyBorder="1" applyAlignment="1">
      <alignment horizontal="center" vertical="center" wrapText="1"/>
    </xf>
    <xf numFmtId="0" fontId="7" fillId="7" borderId="20" xfId="31" applyFont="1" applyFill="1" applyBorder="1" applyAlignment="1">
      <alignment horizontal="center" vertical="center" wrapText="1"/>
    </xf>
    <xf numFmtId="0" fontId="7" fillId="0" borderId="0" xfId="0" applyFont="1"/>
    <xf numFmtId="0" fontId="7" fillId="0" borderId="0" xfId="0" applyFont="1" applyAlignment="1">
      <alignment horizontal="center" vertical="center"/>
    </xf>
    <xf numFmtId="171" fontId="7" fillId="0" borderId="0" xfId="0" applyNumberFormat="1" applyFont="1"/>
    <xf numFmtId="0" fontId="7" fillId="0" borderId="0" xfId="0" applyFont="1" applyProtection="1">
      <protection locked="0"/>
    </xf>
    <xf numFmtId="0" fontId="7" fillId="0" borderId="0" xfId="0" applyFont="1" applyAlignment="1" applyProtection="1">
      <alignment horizontal="center"/>
      <protection locked="0"/>
    </xf>
    <xf numFmtId="1" fontId="7" fillId="0" borderId="0" xfId="0" applyNumberFormat="1" applyFont="1" applyProtection="1">
      <protection locked="0"/>
    </xf>
    <xf numFmtId="0" fontId="0" fillId="0" borderId="0" xfId="0" applyAlignment="1">
      <alignment horizontal="center"/>
    </xf>
    <xf numFmtId="0" fontId="29" fillId="0" borderId="6" xfId="0" applyFont="1" applyBorder="1" applyAlignment="1">
      <alignment horizontal="center" vertical="center" wrapText="1"/>
    </xf>
    <xf numFmtId="0" fontId="29" fillId="0" borderId="7" xfId="0" applyFont="1" applyBorder="1" applyAlignment="1">
      <alignment wrapText="1"/>
    </xf>
    <xf numFmtId="0" fontId="20" fillId="0" borderId="0" xfId="34" applyProtection="1">
      <protection hidden="1"/>
    </xf>
    <xf numFmtId="3" fontId="31" fillId="9" borderId="21" xfId="34" applyNumberFormat="1" applyFont="1" applyFill="1" applyBorder="1" applyAlignment="1">
      <alignment horizontal="center" vertical="center" wrapText="1"/>
    </xf>
    <xf numFmtId="3" fontId="31" fillId="9" borderId="22" xfId="34" applyNumberFormat="1" applyFont="1" applyFill="1" applyBorder="1" applyAlignment="1">
      <alignment horizontal="center" vertical="center" wrapText="1"/>
    </xf>
    <xf numFmtId="0" fontId="20" fillId="0" borderId="0" xfId="34" applyAlignment="1" applyProtection="1">
      <alignment horizontal="center"/>
      <protection hidden="1"/>
    </xf>
    <xf numFmtId="0" fontId="20" fillId="0" borderId="0" xfId="34" applyAlignment="1" applyProtection="1">
      <alignment horizontal="left"/>
      <protection hidden="1"/>
    </xf>
    <xf numFmtId="3" fontId="20" fillId="0" borderId="0" xfId="34" applyNumberFormat="1" applyAlignment="1" applyProtection="1">
      <alignment horizontal="right"/>
      <protection hidden="1"/>
    </xf>
    <xf numFmtId="1" fontId="20" fillId="0" borderId="0" xfId="34" applyNumberFormat="1" applyAlignment="1" applyProtection="1">
      <alignment horizontal="left"/>
      <protection hidden="1"/>
    </xf>
    <xf numFmtId="0" fontId="20" fillId="0" borderId="0" xfId="34" applyAlignment="1" applyProtection="1">
      <alignment horizontal="left" vertical="center"/>
      <protection hidden="1"/>
    </xf>
    <xf numFmtId="0" fontId="21" fillId="0" borderId="0" xfId="34" applyFont="1" applyProtection="1">
      <protection hidden="1"/>
    </xf>
    <xf numFmtId="0" fontId="12" fillId="0" borderId="0" xfId="0" applyFont="1" applyProtection="1">
      <protection hidden="1"/>
    </xf>
    <xf numFmtId="0" fontId="12" fillId="0" borderId="0" xfId="0" applyFont="1" applyAlignment="1" applyProtection="1">
      <alignment vertical="center" wrapText="1"/>
      <protection hidden="1"/>
    </xf>
    <xf numFmtId="0" fontId="12" fillId="0" borderId="0" xfId="34" applyFont="1" applyProtection="1">
      <protection hidden="1"/>
    </xf>
    <xf numFmtId="0" fontId="33" fillId="0" borderId="0" xfId="34" applyFont="1" applyProtection="1">
      <protection hidden="1"/>
    </xf>
    <xf numFmtId="0" fontId="8" fillId="0" borderId="0" xfId="0" applyFont="1" applyAlignment="1">
      <alignment horizontal="justify" vertical="center" wrapText="1"/>
    </xf>
    <xf numFmtId="0" fontId="29" fillId="0" borderId="32" xfId="0" applyFont="1" applyBorder="1" applyAlignment="1">
      <alignment horizontal="center" vertical="center" wrapText="1"/>
    </xf>
    <xf numFmtId="0" fontId="29" fillId="0" borderId="33" xfId="0" applyFont="1" applyBorder="1" applyAlignment="1">
      <alignment wrapText="1"/>
    </xf>
    <xf numFmtId="0" fontId="29" fillId="0" borderId="34" xfId="0" applyFont="1" applyBorder="1"/>
    <xf numFmtId="0" fontId="30" fillId="0" borderId="33" xfId="5" applyFont="1" applyBorder="1" applyAlignment="1" applyProtection="1">
      <alignment wrapText="1"/>
    </xf>
    <xf numFmtId="0" fontId="17" fillId="0" borderId="33" xfId="0" applyFont="1" applyBorder="1" applyAlignment="1">
      <alignment vertical="center" wrapText="1"/>
    </xf>
    <xf numFmtId="0" fontId="17" fillId="0" borderId="33" xfId="0" applyFont="1" applyBorder="1" applyAlignment="1">
      <alignment vertical="top" wrapText="1"/>
    </xf>
    <xf numFmtId="0" fontId="18" fillId="0" borderId="35" xfId="5" applyFont="1" applyBorder="1" applyAlignment="1" applyProtection="1">
      <alignment vertical="center" wrapText="1"/>
    </xf>
    <xf numFmtId="0" fontId="5" fillId="0" borderId="36" xfId="0" applyFont="1" applyBorder="1" applyAlignment="1">
      <alignment wrapText="1"/>
    </xf>
    <xf numFmtId="0" fontId="29" fillId="0" borderId="37" xfId="0" applyFont="1" applyBorder="1" applyAlignment="1">
      <alignment horizontal="center" vertical="center" wrapText="1"/>
    </xf>
    <xf numFmtId="14" fontId="17" fillId="0" borderId="38" xfId="0" applyNumberFormat="1" applyFont="1" applyBorder="1" applyAlignment="1">
      <alignment horizontal="left" vertical="center" wrapText="1"/>
    </xf>
    <xf numFmtId="3" fontId="8" fillId="0" borderId="24" xfId="33" applyNumberFormat="1" applyFont="1" applyBorder="1" applyAlignment="1">
      <alignment horizontal="left" vertical="center"/>
    </xf>
    <xf numFmtId="0" fontId="4" fillId="0" borderId="24" xfId="0" applyFont="1" applyBorder="1" applyAlignment="1">
      <alignment horizontal="center" vertical="center" wrapText="1"/>
    </xf>
    <xf numFmtId="172" fontId="4" fillId="0" borderId="24" xfId="18" applyNumberFormat="1" applyFont="1" applyFill="1" applyBorder="1" applyAlignment="1">
      <alignment horizontal="center" vertical="center" wrapText="1"/>
    </xf>
    <xf numFmtId="171" fontId="4" fillId="0" borderId="24" xfId="8" applyNumberFormat="1" applyFont="1" applyFill="1" applyBorder="1" applyAlignment="1">
      <alignment horizontal="center" vertical="center" wrapText="1"/>
    </xf>
    <xf numFmtId="171" fontId="14" fillId="8" borderId="24" xfId="8" applyNumberFormat="1" applyFont="1" applyFill="1" applyBorder="1" applyAlignment="1">
      <alignment horizontal="center" vertical="center" wrapText="1"/>
    </xf>
    <xf numFmtId="1" fontId="4" fillId="0" borderId="24" xfId="0" applyNumberFormat="1" applyFont="1" applyBorder="1" applyAlignment="1">
      <alignment horizontal="center" vertical="center" wrapText="1"/>
    </xf>
    <xf numFmtId="173" fontId="4" fillId="0" borderId="24" xfId="19" applyNumberFormat="1" applyFont="1" applyFill="1" applyBorder="1" applyAlignment="1">
      <alignment vertical="center" wrapText="1"/>
    </xf>
    <xf numFmtId="0" fontId="4" fillId="0" borderId="24" xfId="2" applyNumberFormat="1" applyFont="1" applyBorder="1" applyAlignment="1">
      <alignment horizontal="center" vertical="center" wrapText="1"/>
    </xf>
    <xf numFmtId="0" fontId="16" fillId="0" borderId="24" xfId="5" applyFont="1" applyFill="1" applyBorder="1" applyAlignment="1">
      <alignment horizontal="center" vertical="center" wrapText="1"/>
    </xf>
    <xf numFmtId="0" fontId="36" fillId="0" borderId="39" xfId="5" applyFont="1" applyFill="1" applyBorder="1" applyAlignment="1">
      <alignment horizontal="left"/>
    </xf>
    <xf numFmtId="0" fontId="36" fillId="0" borderId="39" xfId="5" applyFont="1" applyFill="1" applyBorder="1" applyAlignment="1">
      <alignment horizontal="left" vertical="center"/>
    </xf>
    <xf numFmtId="0" fontId="37" fillId="0" borderId="39" xfId="21" applyFont="1" applyFill="1" applyBorder="1" applyAlignment="1" applyProtection="1">
      <alignment horizontal="center" vertical="center" wrapText="1"/>
      <protection locked="0"/>
    </xf>
    <xf numFmtId="0" fontId="36" fillId="0" borderId="39" xfId="5" applyFont="1" applyFill="1" applyBorder="1" applyAlignment="1" applyProtection="1">
      <alignment horizontal="left" vertical="center" wrapText="1"/>
      <protection locked="0"/>
    </xf>
    <xf numFmtId="0" fontId="41" fillId="0" borderId="39" xfId="5" applyFont="1" applyFill="1" applyBorder="1" applyAlignment="1" applyProtection="1">
      <alignment horizontal="left" vertical="center" wrapText="1"/>
      <protection locked="0"/>
    </xf>
    <xf numFmtId="0" fontId="8" fillId="0" borderId="27" xfId="0" applyFont="1" applyBorder="1" applyAlignment="1">
      <alignment horizontal="center"/>
    </xf>
    <xf numFmtId="0" fontId="8" fillId="0" borderId="24" xfId="0" applyFont="1" applyBorder="1" applyAlignment="1">
      <alignment horizontal="center"/>
    </xf>
    <xf numFmtId="0" fontId="8" fillId="0" borderId="24" xfId="33" applyFont="1" applyBorder="1" applyAlignment="1">
      <alignment horizontal="left" vertical="center"/>
    </xf>
    <xf numFmtId="3" fontId="8" fillId="0" borderId="24" xfId="33" applyNumberFormat="1" applyFont="1" applyBorder="1" applyAlignment="1">
      <alignment horizontal="right" vertical="center"/>
    </xf>
    <xf numFmtId="1" fontId="8" fillId="0" borderId="24" xfId="33" applyNumberFormat="1" applyFont="1" applyBorder="1" applyAlignment="1">
      <alignment horizontal="left" vertical="center"/>
    </xf>
    <xf numFmtId="3" fontId="8" fillId="0" borderId="24" xfId="33" applyNumberFormat="1" applyFont="1" applyBorder="1" applyAlignment="1">
      <alignment horizontal="center" vertical="center"/>
    </xf>
    <xf numFmtId="49" fontId="8" fillId="0" borderId="24" xfId="2" applyFont="1" applyBorder="1" applyAlignment="1">
      <alignment horizontal="center" vertical="center"/>
    </xf>
    <xf numFmtId="0" fontId="8" fillId="0" borderId="24" xfId="2" applyNumberFormat="1" applyFont="1" applyBorder="1" applyAlignment="1">
      <alignment horizontal="center" vertical="center"/>
    </xf>
    <xf numFmtId="0" fontId="8" fillId="0" borderId="24" xfId="0" applyFont="1" applyBorder="1" applyAlignment="1" applyProtection="1">
      <alignment horizontal="center"/>
      <protection locked="0"/>
    </xf>
    <xf numFmtId="0" fontId="8" fillId="0" borderId="24" xfId="0" applyFont="1" applyBorder="1" applyAlignment="1">
      <alignment vertical="center" wrapText="1"/>
    </xf>
    <xf numFmtId="0" fontId="8" fillId="0" borderId="24" xfId="0" applyFont="1" applyBorder="1" applyAlignment="1">
      <alignment horizontal="center" vertical="center" wrapText="1"/>
    </xf>
    <xf numFmtId="3" fontId="8" fillId="0" borderId="24" xfId="2" applyNumberFormat="1" applyFont="1" applyBorder="1" applyAlignment="1" applyProtection="1">
      <alignment horizontal="right" vertical="center"/>
      <protection locked="0"/>
    </xf>
    <xf numFmtId="49" fontId="8" fillId="0" borderId="24" xfId="2" applyFont="1" applyBorder="1" applyAlignment="1" applyProtection="1">
      <alignment horizontal="center" vertical="center"/>
      <protection locked="0"/>
    </xf>
    <xf numFmtId="0" fontId="8" fillId="0" borderId="24" xfId="0" applyFont="1" applyBorder="1" applyAlignment="1">
      <alignment horizontal="left"/>
    </xf>
    <xf numFmtId="0" fontId="8" fillId="0" borderId="24" xfId="0" applyFont="1" applyBorder="1" applyAlignment="1" applyProtection="1">
      <alignment horizontal="center" vertical="center" wrapText="1"/>
      <protection locked="0"/>
    </xf>
    <xf numFmtId="0" fontId="8" fillId="0" borderId="39" xfId="0" applyFont="1" applyBorder="1" applyAlignment="1">
      <alignment horizontal="left"/>
    </xf>
    <xf numFmtId="0" fontId="8" fillId="0" borderId="28" xfId="0" applyFont="1" applyBorder="1" applyAlignment="1">
      <alignment horizontal="center"/>
    </xf>
    <xf numFmtId="0" fontId="8" fillId="0" borderId="29" xfId="0" applyFont="1" applyBorder="1" applyAlignment="1">
      <alignment horizontal="center"/>
    </xf>
    <xf numFmtId="0" fontId="8" fillId="0" borderId="29" xfId="33" applyFont="1" applyBorder="1" applyAlignment="1">
      <alignment horizontal="left" vertical="center"/>
    </xf>
    <xf numFmtId="3" fontId="8" fillId="0" borderId="29" xfId="33" applyNumberFormat="1" applyFont="1" applyBorder="1" applyAlignment="1">
      <alignment horizontal="right" vertical="center"/>
    </xf>
    <xf numFmtId="1" fontId="8" fillId="0" borderId="29" xfId="33" applyNumberFormat="1" applyFont="1" applyBorder="1" applyAlignment="1">
      <alignment horizontal="left" vertical="center"/>
    </xf>
    <xf numFmtId="0" fontId="38" fillId="0" borderId="29" xfId="0" applyFont="1" applyBorder="1" applyAlignment="1" applyProtection="1">
      <alignment wrapText="1"/>
      <protection locked="0"/>
    </xf>
    <xf numFmtId="3" fontId="8" fillId="0" borderId="29" xfId="33" applyNumberFormat="1" applyFont="1" applyBorder="1" applyAlignment="1">
      <alignment horizontal="center" vertical="center"/>
    </xf>
    <xf numFmtId="49" fontId="8" fillId="0" borderId="29" xfId="2" applyFont="1" applyBorder="1" applyAlignment="1">
      <alignment horizontal="center" vertical="center"/>
    </xf>
    <xf numFmtId="0" fontId="8" fillId="0" borderId="29" xfId="2" applyNumberFormat="1" applyFont="1" applyBorder="1" applyAlignment="1">
      <alignment horizontal="center" vertical="center"/>
    </xf>
    <xf numFmtId="0" fontId="8" fillId="0" borderId="29" xfId="0" applyFont="1" applyBorder="1" applyAlignment="1" applyProtection="1">
      <alignment horizontal="center"/>
      <protection locked="0"/>
    </xf>
    <xf numFmtId="0" fontId="8" fillId="0" borderId="29" xfId="0" applyFont="1" applyBorder="1" applyAlignment="1">
      <alignment vertical="center" wrapText="1"/>
    </xf>
    <xf numFmtId="0" fontId="8" fillId="0" borderId="29" xfId="0" applyFont="1" applyBorder="1" applyAlignment="1">
      <alignment horizontal="center" vertical="center" wrapText="1"/>
    </xf>
    <xf numFmtId="3" fontId="8" fillId="0" borderId="29" xfId="2" applyNumberFormat="1" applyFont="1" applyBorder="1" applyAlignment="1" applyProtection="1">
      <alignment horizontal="right" vertical="center"/>
      <protection locked="0"/>
    </xf>
    <xf numFmtId="49" fontId="8" fillId="0" borderId="29" xfId="2" applyFont="1" applyBorder="1" applyAlignment="1" applyProtection="1">
      <alignment horizontal="center" vertical="center"/>
      <protection locked="0"/>
    </xf>
    <xf numFmtId="0" fontId="8" fillId="0" borderId="29" xfId="0" applyFont="1" applyBorder="1"/>
    <xf numFmtId="0" fontId="8" fillId="0" borderId="29" xfId="0" applyFont="1" applyBorder="1" applyAlignment="1">
      <alignment horizontal="left"/>
    </xf>
    <xf numFmtId="0" fontId="8" fillId="0" borderId="31" xfId="0" applyFont="1" applyBorder="1" applyAlignment="1">
      <alignment horizontal="left"/>
    </xf>
    <xf numFmtId="0" fontId="38" fillId="0" borderId="24" xfId="0" applyFont="1" applyBorder="1" applyAlignment="1" applyProtection="1">
      <alignment wrapText="1"/>
      <protection locked="0"/>
    </xf>
    <xf numFmtId="0" fontId="8" fillId="0" borderId="24" xfId="0" applyFont="1" applyBorder="1" applyAlignment="1" applyProtection="1">
      <alignment horizontal="center"/>
      <protection hidden="1"/>
    </xf>
    <xf numFmtId="0" fontId="8" fillId="0" borderId="24" xfId="0" applyFont="1" applyBorder="1" applyAlignment="1" applyProtection="1">
      <alignment horizontal="left" wrapText="1"/>
      <protection locked="0"/>
    </xf>
    <xf numFmtId="0" fontId="8" fillId="0" borderId="24" xfId="0" applyFont="1" applyBorder="1" applyAlignment="1" applyProtection="1">
      <alignment wrapText="1"/>
      <protection locked="0"/>
    </xf>
    <xf numFmtId="0" fontId="8" fillId="0" borderId="24" xfId="0" applyFont="1" applyBorder="1" applyAlignment="1" applyProtection="1">
      <alignment horizontal="center" vertical="center"/>
      <protection locked="0"/>
    </xf>
    <xf numFmtId="0" fontId="8" fillId="0" borderId="24" xfId="0" applyFont="1" applyBorder="1" applyAlignment="1" applyProtection="1">
      <alignment vertical="center"/>
      <protection locked="0"/>
    </xf>
    <xf numFmtId="0" fontId="8" fillId="0" borderId="24" xfId="0" applyFont="1" applyBorder="1" applyAlignment="1">
      <alignment horizontal="left" vertical="center"/>
    </xf>
    <xf numFmtId="0" fontId="4" fillId="0" borderId="24" xfId="6" applyFont="1" applyBorder="1" applyAlignment="1">
      <alignment horizontal="left" vertical="center" wrapText="1"/>
    </xf>
    <xf numFmtId="0" fontId="8" fillId="0" borderId="24" xfId="0" applyFont="1" applyBorder="1" applyAlignment="1" applyProtection="1">
      <alignment horizontal="left" vertical="center" wrapText="1"/>
      <protection locked="0"/>
    </xf>
    <xf numFmtId="3" fontId="8" fillId="0" borderId="24" xfId="0" applyNumberFormat="1" applyFont="1" applyBorder="1" applyAlignment="1" applyProtection="1">
      <alignment horizontal="right" vertical="center" wrapText="1"/>
      <protection locked="0"/>
    </xf>
    <xf numFmtId="0" fontId="37" fillId="0" borderId="39" xfId="0" applyFont="1" applyBorder="1" applyAlignment="1" applyProtection="1">
      <alignment horizontal="left" vertical="center" wrapText="1"/>
      <protection locked="0"/>
    </xf>
    <xf numFmtId="0" fontId="8" fillId="0" borderId="24" xfId="0" applyFont="1" applyBorder="1" applyAlignment="1" applyProtection="1">
      <alignment horizontal="justify" vertical="center" wrapText="1"/>
      <protection locked="0"/>
    </xf>
    <xf numFmtId="0" fontId="8" fillId="0" borderId="24" xfId="0" applyFont="1" applyBorder="1" applyProtection="1">
      <protection locked="0"/>
    </xf>
    <xf numFmtId="0" fontId="8" fillId="0" borderId="24" xfId="0" applyFont="1" applyBorder="1" applyAlignment="1" applyProtection="1">
      <alignment vertical="center" wrapText="1"/>
      <protection locked="0"/>
    </xf>
    <xf numFmtId="0" fontId="8" fillId="0" borderId="24" xfId="0" applyFont="1" applyBorder="1" applyAlignment="1" applyProtection="1">
      <alignment horizontal="center"/>
      <protection locked="0" hidden="1"/>
    </xf>
    <xf numFmtId="0" fontId="8" fillId="0" borderId="24" xfId="0" applyFont="1" applyBorder="1" applyAlignment="1" applyProtection="1">
      <alignment horizontal="center" vertical="center"/>
      <protection locked="0" hidden="1"/>
    </xf>
    <xf numFmtId="1" fontId="8" fillId="0" borderId="24" xfId="33" applyNumberFormat="1" applyFont="1" applyBorder="1" applyAlignment="1">
      <alignment horizontal="left" vertical="center" wrapText="1"/>
    </xf>
    <xf numFmtId="0" fontId="34" fillId="0" borderId="39" xfId="0" applyFont="1" applyBorder="1"/>
    <xf numFmtId="3" fontId="8" fillId="0" borderId="24" xfId="33" applyNumberFormat="1" applyFont="1" applyBorder="1" applyAlignment="1">
      <alignment horizontal="left" vertical="center" wrapText="1"/>
    </xf>
    <xf numFmtId="1" fontId="8" fillId="0" borderId="24" xfId="34" applyNumberFormat="1" applyFont="1" applyBorder="1" applyAlignment="1" applyProtection="1">
      <alignment horizontal="left" vertical="center" wrapText="1"/>
      <protection hidden="1"/>
    </xf>
    <xf numFmtId="0" fontId="8" fillId="0" borderId="24" xfId="0" applyFont="1" applyBorder="1" applyAlignment="1">
      <alignment horizontal="justify" vertical="center" wrapText="1"/>
    </xf>
    <xf numFmtId="1" fontId="8" fillId="0" borderId="24" xfId="0" applyNumberFormat="1" applyFont="1" applyBorder="1" applyAlignment="1" applyProtection="1">
      <alignment horizontal="center" vertical="center" wrapText="1"/>
      <protection locked="0"/>
    </xf>
    <xf numFmtId="0" fontId="6" fillId="0" borderId="39" xfId="5" applyFill="1" applyBorder="1" applyAlignment="1">
      <alignment horizontal="left"/>
    </xf>
    <xf numFmtId="3" fontId="8" fillId="0" borderId="24" xfId="2" applyNumberFormat="1" applyFont="1" applyBorder="1" applyProtection="1">
      <alignment horizontal="left" vertical="center"/>
      <protection locked="0"/>
    </xf>
    <xf numFmtId="3" fontId="8" fillId="0" borderId="24" xfId="2" applyNumberFormat="1" applyFont="1" applyBorder="1" applyAlignment="1" applyProtection="1">
      <alignment horizontal="center" vertical="center"/>
      <protection locked="0"/>
    </xf>
    <xf numFmtId="172" fontId="8" fillId="0" borderId="24" xfId="0" applyNumberFormat="1" applyFont="1" applyBorder="1" applyAlignment="1" applyProtection="1">
      <alignment horizontal="center" vertical="center" wrapText="1"/>
      <protection locked="0"/>
    </xf>
    <xf numFmtId="174" fontId="8" fillId="0" borderId="24" xfId="0" applyNumberFormat="1" applyFont="1" applyBorder="1" applyAlignment="1" applyProtection="1">
      <alignment horizontal="center" vertical="center" wrapText="1"/>
      <protection locked="0"/>
    </xf>
    <xf numFmtId="0" fontId="35" fillId="0" borderId="24" xfId="0" applyFont="1" applyBorder="1" applyAlignment="1">
      <alignment horizontal="justify" vertical="center" wrapText="1"/>
    </xf>
    <xf numFmtId="1" fontId="8" fillId="0" borderId="24" xfId="0" applyNumberFormat="1" applyFont="1" applyBorder="1" applyAlignment="1" applyProtection="1">
      <alignment horizontal="center" vertical="center" wrapText="1"/>
      <protection hidden="1"/>
    </xf>
    <xf numFmtId="0" fontId="8" fillId="0" borderId="24" xfId="34" applyFont="1" applyBorder="1" applyAlignment="1" applyProtection="1">
      <alignment horizontal="center"/>
      <protection hidden="1"/>
    </xf>
    <xf numFmtId="0" fontId="8" fillId="0" borderId="24" xfId="0" applyFont="1" applyBorder="1" applyAlignment="1" applyProtection="1">
      <alignment horizontal="left" vertical="center"/>
      <protection hidden="1"/>
    </xf>
    <xf numFmtId="1" fontId="8" fillId="0" borderId="24" xfId="0" applyNumberFormat="1" applyFont="1" applyBorder="1" applyAlignment="1" applyProtection="1">
      <alignment horizontal="left" vertical="center"/>
      <protection hidden="1"/>
    </xf>
    <xf numFmtId="172" fontId="8" fillId="0" borderId="27" xfId="0" applyNumberFormat="1" applyFont="1" applyBorder="1" applyAlignment="1" applyProtection="1">
      <alignment horizontal="center" vertical="center"/>
      <protection locked="0"/>
    </xf>
    <xf numFmtId="174" fontId="8" fillId="0" borderId="24" xfId="0" applyNumberFormat="1" applyFont="1" applyBorder="1" applyAlignment="1" applyProtection="1">
      <alignment horizontal="center" vertical="center"/>
      <protection locked="0"/>
    </xf>
    <xf numFmtId="0" fontId="3" fillId="0" borderId="24" xfId="0" applyFont="1" applyBorder="1" applyAlignment="1">
      <alignment horizontal="left" vertical="center"/>
    </xf>
    <xf numFmtId="0" fontId="8" fillId="0" borderId="24" xfId="0" applyFont="1" applyBorder="1" applyAlignment="1">
      <alignment horizontal="center" vertical="center"/>
    </xf>
    <xf numFmtId="1" fontId="8" fillId="0" borderId="24" xfId="0" applyNumberFormat="1" applyFont="1" applyBorder="1" applyAlignment="1" applyProtection="1">
      <alignment horizontal="center" vertical="center"/>
      <protection hidden="1"/>
    </xf>
    <xf numFmtId="1" fontId="8" fillId="0" borderId="24" xfId="0" applyNumberFormat="1" applyFont="1" applyBorder="1" applyAlignment="1" applyProtection="1">
      <alignment horizontal="center" vertical="center"/>
      <protection locked="0"/>
    </xf>
    <xf numFmtId="0" fontId="8" fillId="0" borderId="24" xfId="0" applyFont="1" applyBorder="1" applyAlignment="1" applyProtection="1">
      <alignment horizontal="center" vertical="center"/>
      <protection hidden="1"/>
    </xf>
    <xf numFmtId="172" fontId="8" fillId="0" borderId="24" xfId="0" applyNumberFormat="1" applyFont="1" applyBorder="1" applyAlignment="1" applyProtection="1">
      <alignment horizontal="center" vertical="center"/>
      <protection locked="0"/>
    </xf>
    <xf numFmtId="171" fontId="8" fillId="0" borderId="24" xfId="0" applyNumberFormat="1" applyFont="1" applyBorder="1" applyAlignment="1" applyProtection="1">
      <alignment horizontal="center" vertical="center"/>
      <protection locked="0"/>
    </xf>
    <xf numFmtId="171" fontId="8" fillId="0" borderId="24" xfId="0" applyNumberFormat="1" applyFont="1" applyBorder="1" applyAlignment="1" applyProtection="1">
      <alignment horizontal="right" vertical="center"/>
      <protection locked="0"/>
    </xf>
    <xf numFmtId="49" fontId="8" fillId="0" borderId="41" xfId="2" applyFont="1" applyBorder="1" applyAlignment="1">
      <alignment horizontal="center" vertical="center"/>
    </xf>
    <xf numFmtId="0" fontId="8" fillId="0" borderId="41" xfId="0" applyFont="1" applyBorder="1" applyAlignment="1" applyProtection="1">
      <alignment horizontal="center" vertical="center"/>
      <protection hidden="1"/>
    </xf>
    <xf numFmtId="0" fontId="8" fillId="0" borderId="24" xfId="0" applyFont="1" applyBorder="1" applyAlignment="1">
      <alignment horizontal="left" vertical="center" wrapText="1"/>
    </xf>
    <xf numFmtId="0" fontId="8" fillId="0" borderId="24" xfId="34" applyFont="1" applyBorder="1" applyAlignment="1" applyProtection="1">
      <alignment horizontal="left"/>
      <protection hidden="1"/>
    </xf>
    <xf numFmtId="0" fontId="8" fillId="0" borderId="24" xfId="2" applyNumberFormat="1" applyFont="1" applyBorder="1" applyAlignment="1" applyProtection="1">
      <alignment horizontal="center" vertical="center"/>
      <protection locked="0"/>
    </xf>
    <xf numFmtId="0" fontId="39" fillId="0" borderId="24" xfId="0" applyFont="1" applyBorder="1" applyAlignment="1" applyProtection="1">
      <alignment horizontal="center" vertical="center" wrapText="1"/>
      <protection locked="0"/>
    </xf>
    <xf numFmtId="172" fontId="8" fillId="0" borderId="27" xfId="0" applyNumberFormat="1" applyFont="1" applyBorder="1" applyAlignment="1" applyProtection="1">
      <alignment horizontal="center" vertical="center" wrapText="1"/>
      <protection locked="0"/>
    </xf>
    <xf numFmtId="1" fontId="8" fillId="0" borderId="24" xfId="0" applyNumberFormat="1" applyFont="1" applyBorder="1" applyAlignment="1" applyProtection="1">
      <alignment horizontal="left" vertical="center" wrapText="1"/>
      <protection hidden="1"/>
    </xf>
    <xf numFmtId="0" fontId="8" fillId="0" borderId="24" xfId="0" applyFont="1" applyBorder="1" applyAlignment="1">
      <alignment horizontal="left" wrapText="1"/>
    </xf>
    <xf numFmtId="0" fontId="8" fillId="0" borderId="39" xfId="0" applyFont="1" applyBorder="1"/>
    <xf numFmtId="0" fontId="8" fillId="0" borderId="24" xfId="0" applyFont="1" applyBorder="1" applyAlignment="1" applyProtection="1">
      <alignment horizontal="left" vertical="top" wrapText="1"/>
      <protection locked="0"/>
    </xf>
    <xf numFmtId="0" fontId="8" fillId="0" borderId="24" xfId="0" applyFont="1" applyBorder="1" applyAlignment="1" applyProtection="1">
      <alignment horizontal="center" vertical="top" wrapText="1"/>
      <protection locked="0"/>
    </xf>
    <xf numFmtId="0" fontId="8" fillId="0" borderId="24" xfId="0" applyFont="1" applyBorder="1" applyAlignment="1" applyProtection="1">
      <alignment horizontal="justify" vertical="top" wrapText="1"/>
      <protection locked="0"/>
    </xf>
    <xf numFmtId="0" fontId="40" fillId="0" borderId="24" xfId="0" applyFont="1" applyBorder="1" applyAlignment="1" applyProtection="1">
      <alignment horizontal="left" vertical="center" wrapText="1"/>
      <protection locked="0"/>
    </xf>
    <xf numFmtId="3" fontId="40" fillId="0" borderId="24" xfId="0" applyNumberFormat="1" applyFont="1" applyBorder="1" applyAlignment="1" applyProtection="1">
      <alignment horizontal="right" vertical="center" wrapText="1"/>
      <protection locked="0"/>
    </xf>
    <xf numFmtId="0" fontId="8" fillId="0" borderId="27" xfId="34" applyFont="1" applyBorder="1" applyAlignment="1" applyProtection="1">
      <alignment horizontal="center"/>
      <protection hidden="1"/>
    </xf>
    <xf numFmtId="3" fontId="8" fillId="0" borderId="24" xfId="34" applyNumberFormat="1" applyFont="1" applyBorder="1" applyAlignment="1" applyProtection="1">
      <alignment horizontal="right"/>
      <protection hidden="1"/>
    </xf>
    <xf numFmtId="1" fontId="8" fillId="0" borderId="24" xfId="34" applyNumberFormat="1" applyFont="1" applyBorder="1" applyAlignment="1" applyProtection="1">
      <alignment horizontal="left"/>
      <protection hidden="1"/>
    </xf>
    <xf numFmtId="0" fontId="8" fillId="0" borderId="24" xfId="34" applyFont="1" applyBorder="1" applyAlignment="1" applyProtection="1">
      <alignment horizontal="left" vertical="center"/>
      <protection hidden="1"/>
    </xf>
    <xf numFmtId="0" fontId="8" fillId="0" borderId="24" xfId="34" applyFont="1" applyBorder="1" applyProtection="1">
      <protection hidden="1"/>
    </xf>
    <xf numFmtId="1" fontId="4" fillId="0" borderId="24" xfId="0" applyNumberFormat="1" applyFont="1" applyBorder="1" applyAlignment="1" applyProtection="1">
      <alignment horizontal="center" vertical="center" wrapText="1"/>
      <protection locked="0"/>
    </xf>
    <xf numFmtId="0" fontId="28" fillId="0" borderId="3" xfId="0" applyFont="1" applyBorder="1" applyAlignment="1">
      <alignment horizontal="center"/>
    </xf>
    <xf numFmtId="0" fontId="28" fillId="0" borderId="4" xfId="0" applyFont="1" applyBorder="1" applyAlignment="1">
      <alignment horizontal="center"/>
    </xf>
    <xf numFmtId="0" fontId="28" fillId="0" borderId="5" xfId="0" applyFont="1" applyBorder="1" applyAlignment="1">
      <alignment horizontal="center"/>
    </xf>
    <xf numFmtId="0" fontId="29" fillId="0" borderId="2" xfId="0" applyFont="1" applyBorder="1" applyAlignment="1">
      <alignment horizontal="center"/>
    </xf>
    <xf numFmtId="0" fontId="17" fillId="0" borderId="0" xfId="0" applyFont="1" applyAlignment="1">
      <alignment horizontal="center" wrapText="1"/>
    </xf>
    <xf numFmtId="0" fontId="17" fillId="0" borderId="8" xfId="0" applyFont="1" applyBorder="1" applyAlignment="1">
      <alignment horizontal="left" wrapText="1"/>
    </xf>
    <xf numFmtId="0" fontId="17" fillId="0" borderId="2" xfId="0" applyFont="1" applyBorder="1" applyAlignment="1">
      <alignment horizontal="left" wrapText="1"/>
    </xf>
    <xf numFmtId="0" fontId="17" fillId="0" borderId="9" xfId="0" applyFont="1" applyBorder="1" applyAlignment="1">
      <alignment horizontal="left" wrapText="1"/>
    </xf>
    <xf numFmtId="0" fontId="17" fillId="0" borderId="10" xfId="0" applyFont="1" applyBorder="1" applyAlignment="1">
      <alignment horizontal="left" wrapText="1"/>
    </xf>
    <xf numFmtId="0" fontId="17" fillId="0" borderId="0" xfId="0" applyFont="1" applyAlignment="1">
      <alignment horizontal="left" wrapText="1"/>
    </xf>
    <xf numFmtId="0" fontId="17" fillId="0" borderId="11" xfId="0" applyFont="1" applyBorder="1" applyAlignment="1">
      <alignment horizontal="left" wrapText="1"/>
    </xf>
    <xf numFmtId="0" fontId="17" fillId="0" borderId="12" xfId="0" applyFont="1" applyBorder="1" applyAlignment="1">
      <alignment horizontal="left" wrapText="1"/>
    </xf>
    <xf numFmtId="0" fontId="17" fillId="0" borderId="13" xfId="0" applyFont="1" applyBorder="1" applyAlignment="1">
      <alignment horizontal="left" wrapText="1"/>
    </xf>
    <xf numFmtId="0" fontId="17" fillId="0" borderId="14" xfId="0" applyFont="1" applyBorder="1" applyAlignment="1">
      <alignment horizontal="left" wrapText="1"/>
    </xf>
    <xf numFmtId="0" fontId="7" fillId="10" borderId="40" xfId="34" applyFont="1" applyFill="1" applyBorder="1" applyAlignment="1">
      <alignment horizontal="center" vertical="center" wrapText="1"/>
    </xf>
    <xf numFmtId="0" fontId="7" fillId="10" borderId="21" xfId="34" applyFont="1" applyFill="1" applyBorder="1" applyAlignment="1">
      <alignment horizontal="center" vertical="center" wrapText="1"/>
    </xf>
    <xf numFmtId="3" fontId="7" fillId="10" borderId="21" xfId="34" applyNumberFormat="1" applyFont="1" applyFill="1" applyBorder="1" applyAlignment="1">
      <alignment horizontal="center" vertical="center" wrapText="1"/>
    </xf>
    <xf numFmtId="0" fontId="7" fillId="10" borderId="30" xfId="34" applyFont="1" applyFill="1" applyBorder="1" applyAlignment="1">
      <alignment horizontal="center" vertical="center" wrapText="1"/>
    </xf>
    <xf numFmtId="0" fontId="31" fillId="9" borderId="21" xfId="34" applyFont="1" applyFill="1" applyBorder="1" applyAlignment="1">
      <alignment horizontal="center" vertical="center" wrapText="1"/>
    </xf>
    <xf numFmtId="1" fontId="7" fillId="10" borderId="21" xfId="34" applyNumberFormat="1" applyFont="1" applyFill="1" applyBorder="1" applyAlignment="1">
      <alignment horizontal="center" vertical="center" wrapText="1"/>
    </xf>
    <xf numFmtId="0" fontId="7" fillId="10" borderId="21" xfId="34" applyFont="1" applyFill="1" applyBorder="1" applyAlignment="1">
      <alignment horizontal="center" vertical="center"/>
    </xf>
    <xf numFmtId="168" fontId="7" fillId="5" borderId="17" xfId="31" applyNumberFormat="1" applyFont="1" applyFill="1" applyBorder="1" applyAlignment="1">
      <alignment horizontal="center" vertical="center" wrapText="1"/>
    </xf>
    <xf numFmtId="0" fontId="13" fillId="6" borderId="18" xfId="31" applyFont="1" applyFill="1" applyBorder="1"/>
    <xf numFmtId="0" fontId="13" fillId="6" borderId="19" xfId="31" applyFont="1" applyFill="1" applyBorder="1"/>
    <xf numFmtId="0" fontId="21" fillId="0" borderId="0" xfId="0" applyFont="1" applyAlignment="1">
      <alignment horizontal="center" vertical="center"/>
    </xf>
    <xf numFmtId="0" fontId="21" fillId="0" borderId="0" xfId="0" applyFont="1"/>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23" xfId="0" applyFont="1" applyBorder="1" applyAlignment="1">
      <alignment horizontal="left"/>
    </xf>
    <xf numFmtId="0" fontId="21" fillId="0" borderId="26" xfId="0" applyFont="1" applyBorder="1" applyAlignment="1">
      <alignment horizontal="left" vertical="center"/>
    </xf>
    <xf numFmtId="0" fontId="21" fillId="0" borderId="0" xfId="0" applyFont="1" applyAlignment="1">
      <alignment vertical="center" wrapText="1"/>
    </xf>
    <xf numFmtId="0" fontId="20" fillId="0" borderId="0" xfId="0" applyFont="1"/>
    <xf numFmtId="0" fontId="21" fillId="0" borderId="0" xfId="0" applyFont="1" applyAlignment="1">
      <alignment vertical="center"/>
    </xf>
    <xf numFmtId="0" fontId="13" fillId="0" borderId="0" xfId="34" applyFont="1" applyFill="1" applyAlignment="1">
      <alignment horizontal="center" vertical="top"/>
    </xf>
    <xf numFmtId="0" fontId="13" fillId="0" borderId="0" xfId="34" applyFont="1" applyFill="1" applyAlignment="1">
      <alignment horizontal="left" vertical="top"/>
    </xf>
    <xf numFmtId="3" fontId="13" fillId="0" borderId="0" xfId="34" applyNumberFormat="1" applyFont="1" applyFill="1" applyAlignment="1">
      <alignment horizontal="right" vertical="top"/>
    </xf>
    <xf numFmtId="1" fontId="13" fillId="0" borderId="0" xfId="34" applyNumberFormat="1" applyFont="1" applyFill="1" applyAlignment="1">
      <alignment horizontal="left" vertical="top"/>
    </xf>
    <xf numFmtId="0" fontId="13" fillId="0" borderId="0" xfId="34" applyFont="1" applyFill="1" applyAlignment="1">
      <alignment horizontal="left" vertical="center"/>
    </xf>
    <xf numFmtId="0" fontId="13" fillId="0" borderId="0" xfId="34" applyFont="1" applyFill="1" applyAlignment="1">
      <alignment vertical="top"/>
    </xf>
    <xf numFmtId="1" fontId="7" fillId="0" borderId="16" xfId="34" applyNumberFormat="1" applyFont="1" applyFill="1" applyBorder="1" applyAlignment="1">
      <alignment horizontal="center" vertical="center" wrapText="1"/>
    </xf>
    <xf numFmtId="0" fontId="7" fillId="0" borderId="16" xfId="34" applyFont="1" applyFill="1" applyBorder="1" applyAlignment="1">
      <alignment horizontal="center" vertical="center"/>
    </xf>
    <xf numFmtId="0" fontId="7" fillId="0" borderId="16" xfId="34" applyFont="1" applyFill="1" applyBorder="1" applyAlignment="1">
      <alignment horizontal="center" vertical="center" wrapText="1"/>
    </xf>
    <xf numFmtId="3" fontId="7" fillId="0" borderId="16" xfId="34" applyNumberFormat="1" applyFont="1" applyFill="1" applyBorder="1" applyAlignment="1">
      <alignment horizontal="center" vertical="center" wrapText="1"/>
    </xf>
    <xf numFmtId="0" fontId="7" fillId="0" borderId="20" xfId="34" applyFont="1" applyFill="1" applyBorder="1" applyAlignment="1">
      <alignment horizontal="center" vertical="center" wrapText="1"/>
    </xf>
    <xf numFmtId="0" fontId="7" fillId="0" borderId="39" xfId="34" applyFont="1" applyFill="1" applyBorder="1" applyAlignment="1">
      <alignment horizontal="center" vertical="center" wrapText="1"/>
    </xf>
    <xf numFmtId="0" fontId="8" fillId="0" borderId="27" xfId="0" applyFont="1" applyFill="1" applyBorder="1" applyAlignment="1">
      <alignment horizontal="center"/>
    </xf>
    <xf numFmtId="0" fontId="8" fillId="0" borderId="24" xfId="0" applyFont="1" applyFill="1" applyBorder="1" applyAlignment="1">
      <alignment horizontal="center"/>
    </xf>
    <xf numFmtId="0" fontId="8" fillId="0" borderId="24" xfId="33" applyFont="1" applyFill="1" applyBorder="1" applyAlignment="1">
      <alignment horizontal="left" vertical="center"/>
    </xf>
    <xf numFmtId="3" fontId="8" fillId="0" borderId="24" xfId="33" applyNumberFormat="1" applyFont="1" applyFill="1" applyBorder="1" applyAlignment="1">
      <alignment horizontal="right" vertical="center"/>
    </xf>
    <xf numFmtId="1" fontId="8" fillId="0" borderId="24" xfId="33" applyNumberFormat="1" applyFont="1" applyFill="1" applyBorder="1" applyAlignment="1">
      <alignment horizontal="left" vertical="center"/>
    </xf>
    <xf numFmtId="3" fontId="8" fillId="0" borderId="24" xfId="33" applyNumberFormat="1" applyFont="1" applyFill="1" applyBorder="1" applyAlignment="1">
      <alignment horizontal="left" vertical="center"/>
    </xf>
    <xf numFmtId="0" fontId="8" fillId="0" borderId="24" xfId="0" applyFont="1" applyFill="1" applyBorder="1" applyAlignment="1" applyProtection="1">
      <alignment horizontal="center"/>
      <protection hidden="1"/>
    </xf>
    <xf numFmtId="0" fontId="8" fillId="0" borderId="24" xfId="0" applyFont="1" applyFill="1" applyBorder="1" applyAlignment="1" applyProtection="1">
      <alignment horizontal="center"/>
      <protection locked="0"/>
    </xf>
    <xf numFmtId="0" fontId="8" fillId="0" borderId="24" xfId="0" applyFont="1" applyFill="1" applyBorder="1" applyAlignment="1">
      <alignment vertical="center" wrapText="1"/>
    </xf>
    <xf numFmtId="0" fontId="8" fillId="0" borderId="24" xfId="0" applyFont="1" applyFill="1" applyBorder="1" applyAlignment="1">
      <alignment horizontal="center" vertical="center" wrapText="1"/>
    </xf>
    <xf numFmtId="3" fontId="8" fillId="0" borderId="24" xfId="2" applyNumberFormat="1" applyFont="1" applyFill="1" applyBorder="1" applyAlignment="1" applyProtection="1">
      <alignment horizontal="right" vertical="center"/>
      <protection locked="0"/>
    </xf>
    <xf numFmtId="49" fontId="8" fillId="0" borderId="24" xfId="2" applyFont="1" applyFill="1" applyBorder="1" applyAlignment="1" applyProtection="1">
      <alignment horizontal="center" vertical="center"/>
      <protection locked="0"/>
    </xf>
    <xf numFmtId="0" fontId="8" fillId="0" borderId="24" xfId="0" applyFont="1" applyFill="1" applyBorder="1"/>
    <xf numFmtId="0" fontId="8" fillId="0" borderId="24" xfId="0" applyFont="1" applyFill="1" applyBorder="1" applyAlignment="1">
      <alignment horizontal="left"/>
    </xf>
    <xf numFmtId="0" fontId="8" fillId="0" borderId="24" xfId="0" applyFont="1" applyFill="1" applyBorder="1" applyAlignment="1" applyProtection="1">
      <alignment horizontal="center" vertical="center" wrapText="1"/>
      <protection locked="0"/>
    </xf>
    <xf numFmtId="0" fontId="8" fillId="0" borderId="39" xfId="0" applyFont="1" applyFill="1" applyBorder="1" applyAlignment="1">
      <alignment horizontal="left"/>
    </xf>
    <xf numFmtId="3" fontId="8" fillId="0" borderId="24" xfId="33" applyNumberFormat="1" applyFont="1" applyFill="1" applyBorder="1" applyAlignment="1">
      <alignment horizontal="center" vertical="center"/>
    </xf>
    <xf numFmtId="49" fontId="8" fillId="0" borderId="24" xfId="2" applyFont="1" applyFill="1" applyBorder="1" applyAlignment="1">
      <alignment horizontal="center" vertical="center"/>
    </xf>
    <xf numFmtId="0" fontId="8" fillId="0" borderId="24" xfId="2" applyNumberFormat="1" applyFont="1" applyFill="1" applyBorder="1" applyAlignment="1">
      <alignment horizontal="center" vertical="center"/>
    </xf>
    <xf numFmtId="0" fontId="8" fillId="0" borderId="24" xfId="0" applyFont="1" applyFill="1" applyBorder="1" applyAlignment="1" applyProtection="1">
      <alignment horizontal="justify" vertical="center" wrapText="1"/>
      <protection locked="0"/>
    </xf>
    <xf numFmtId="1" fontId="8" fillId="0" borderId="24" xfId="33" applyNumberFormat="1" applyFont="1" applyFill="1" applyBorder="1" applyAlignment="1">
      <alignment horizontal="left" vertical="center" wrapText="1"/>
    </xf>
    <xf numFmtId="0" fontId="8" fillId="0" borderId="29" xfId="0" applyFont="1" applyFill="1" applyBorder="1" applyAlignment="1" applyProtection="1">
      <alignment horizontal="center"/>
      <protection locked="0"/>
    </xf>
    <xf numFmtId="1" fontId="8" fillId="0" borderId="24" xfId="0" applyNumberFormat="1" applyFont="1" applyFill="1" applyBorder="1" applyAlignment="1" applyProtection="1">
      <alignment horizontal="center" vertical="center" wrapText="1"/>
      <protection locked="0"/>
    </xf>
    <xf numFmtId="0" fontId="8" fillId="0" borderId="29" xfId="0" applyFont="1" applyFill="1" applyBorder="1" applyAlignment="1" applyProtection="1">
      <alignment horizontal="justify" vertical="center" wrapText="1"/>
      <protection locked="0"/>
    </xf>
    <xf numFmtId="1" fontId="8" fillId="0" borderId="29" xfId="0" applyNumberFormat="1" applyFont="1" applyFill="1" applyBorder="1" applyAlignment="1" applyProtection="1">
      <alignment horizontal="center" vertical="center" wrapText="1"/>
      <protection locked="0"/>
    </xf>
    <xf numFmtId="3" fontId="8" fillId="0" borderId="24" xfId="33" applyNumberFormat="1" applyFont="1" applyFill="1" applyBorder="1" applyAlignment="1">
      <alignment horizontal="left" vertical="center" wrapText="1"/>
    </xf>
    <xf numFmtId="0" fontId="8" fillId="0" borderId="24" xfId="0" applyFont="1" applyFill="1" applyBorder="1" applyAlignment="1" applyProtection="1">
      <alignment horizontal="left" vertical="center" wrapText="1"/>
      <protection locked="0"/>
    </xf>
    <xf numFmtId="0" fontId="8" fillId="0" borderId="24" xfId="0" applyFont="1" applyFill="1" applyBorder="1" applyAlignment="1" applyProtection="1">
      <alignment horizontal="justify" vertical="center"/>
      <protection locked="0"/>
    </xf>
    <xf numFmtId="0" fontId="8" fillId="0" borderId="24" xfId="0" applyFont="1" applyFill="1" applyBorder="1" applyAlignment="1">
      <alignment horizontal="left" vertical="center" wrapText="1"/>
    </xf>
    <xf numFmtId="0" fontId="8" fillId="0" borderId="0" xfId="34" applyFont="1" applyFill="1" applyAlignment="1">
      <alignment horizontal="center"/>
    </xf>
    <xf numFmtId="3" fontId="7" fillId="0" borderId="17" xfId="34" applyNumberFormat="1" applyFont="1" applyFill="1" applyBorder="1" applyAlignment="1">
      <alignment horizontal="center" vertical="center" wrapText="1"/>
    </xf>
    <xf numFmtId="3" fontId="13" fillId="0" borderId="18" xfId="34" applyNumberFormat="1" applyFont="1" applyFill="1" applyBorder="1" applyAlignment="1">
      <alignment horizontal="center"/>
    </xf>
    <xf numFmtId="3" fontId="13" fillId="0" borderId="19" xfId="34" applyNumberFormat="1" applyFont="1" applyFill="1" applyBorder="1" applyAlignment="1">
      <alignment horizontal="center"/>
    </xf>
    <xf numFmtId="0" fontId="8" fillId="0" borderId="0" xfId="34" applyFont="1" applyFill="1" applyAlignment="1" applyProtection="1">
      <alignment horizontal="center"/>
      <protection hidden="1"/>
    </xf>
    <xf numFmtId="0" fontId="8" fillId="0" borderId="0" xfId="34" applyFont="1" applyFill="1" applyAlignment="1" applyProtection="1">
      <alignment horizontal="left"/>
      <protection hidden="1"/>
    </xf>
    <xf numFmtId="3" fontId="8" fillId="0" borderId="0" xfId="34" applyNumberFormat="1" applyFont="1" applyFill="1" applyAlignment="1" applyProtection="1">
      <alignment horizontal="right"/>
      <protection hidden="1"/>
    </xf>
    <xf numFmtId="1" fontId="8" fillId="0" borderId="0" xfId="34" applyNumberFormat="1" applyFont="1" applyFill="1" applyAlignment="1" applyProtection="1">
      <alignment horizontal="left"/>
      <protection hidden="1"/>
    </xf>
    <xf numFmtId="0" fontId="8" fillId="0" borderId="0" xfId="34" applyFont="1" applyFill="1" applyProtection="1">
      <protection hidden="1"/>
    </xf>
  </cellXfs>
  <cellStyles count="52">
    <cellStyle name="BodyStyle" xfId="2" xr:uid="{00000000-0005-0000-0000-000000000000}"/>
    <cellStyle name="BodyStyle 2" xfId="14" xr:uid="{00000000-0005-0000-0000-000001000000}"/>
    <cellStyle name="Comma 2" xfId="18" xr:uid="{00000000-0005-0000-0000-000002000000}"/>
    <cellStyle name="Currency [0] 10" xfId="8" xr:uid="{00000000-0005-0000-0000-000003000000}"/>
    <cellStyle name="Currency [0] 10 2" xfId="12" xr:uid="{00000000-0005-0000-0000-000004000000}"/>
    <cellStyle name="Currency [0] 17" xfId="10" xr:uid="{00000000-0005-0000-0000-000005000000}"/>
    <cellStyle name="Currency 3" xfId="19" xr:uid="{00000000-0005-0000-0000-000006000000}"/>
    <cellStyle name="Excel Built-in Currency [0]" xfId="11" xr:uid="{00000000-0005-0000-0000-000007000000}"/>
    <cellStyle name="Excel_BuiltIn_Énfasis1" xfId="13" xr:uid="{00000000-0005-0000-0000-000008000000}"/>
    <cellStyle name="HeaderStyle" xfId="1" xr:uid="{00000000-0005-0000-0000-000009000000}"/>
    <cellStyle name="Hipervínculo" xfId="5" builtinId="8"/>
    <cellStyle name="Hipervínculo 2" xfId="21" xr:uid="{00000000-0005-0000-0000-00000B000000}"/>
    <cellStyle name="Hipervínculo 3" xfId="24" xr:uid="{00000000-0005-0000-0000-00000C000000}"/>
    <cellStyle name="Hipervínculo 4" xfId="36" xr:uid="{00000000-0005-0000-0000-00000D000000}"/>
    <cellStyle name="Hipervínculo 5" xfId="37" xr:uid="{00000000-0005-0000-0000-00000E000000}"/>
    <cellStyle name="Hyperlink" xfId="43" xr:uid="{00000000-0005-0000-0000-00000F000000}"/>
    <cellStyle name="MainTitle" xfId="4" xr:uid="{00000000-0005-0000-0000-000010000000}"/>
    <cellStyle name="Millares [0] 2" xfId="29" xr:uid="{00000000-0005-0000-0000-000011000000}"/>
    <cellStyle name="Millares [0] 3" xfId="32" xr:uid="{00000000-0005-0000-0000-000012000000}"/>
    <cellStyle name="Millares 10" xfId="9" xr:uid="{00000000-0005-0000-0000-000013000000}"/>
    <cellStyle name="Millares 2" xfId="22" xr:uid="{00000000-0005-0000-0000-000014000000}"/>
    <cellStyle name="Millares 3" xfId="41" xr:uid="{00000000-0005-0000-0000-000015000000}"/>
    <cellStyle name="Moneda [0] 3" xfId="15" xr:uid="{00000000-0005-0000-0000-000016000000}"/>
    <cellStyle name="Moneda 10" xfId="16" xr:uid="{00000000-0005-0000-0000-000017000000}"/>
    <cellStyle name="Moneda 2" xfId="7" xr:uid="{00000000-0005-0000-0000-000018000000}"/>
    <cellStyle name="Moneda 2 2" xfId="17" xr:uid="{00000000-0005-0000-0000-000019000000}"/>
    <cellStyle name="Moneda 3" xfId="30" xr:uid="{00000000-0005-0000-0000-00001A000000}"/>
    <cellStyle name="Moneda 4" xfId="38" xr:uid="{00000000-0005-0000-0000-00001B000000}"/>
    <cellStyle name="Moneda 6 2" xfId="50" xr:uid="{98676CD1-63A6-47EC-BDAA-C75E2719DDCF}"/>
    <cellStyle name="Normal" xfId="0" builtinId="0"/>
    <cellStyle name="Normal 10" xfId="35" xr:uid="{00000000-0005-0000-0000-00001D000000}"/>
    <cellStyle name="Normal 17 3" xfId="23" xr:uid="{00000000-0005-0000-0000-00001E000000}"/>
    <cellStyle name="Normal 18 2 2" xfId="27" xr:uid="{00000000-0005-0000-0000-00001F000000}"/>
    <cellStyle name="Normal 18 3" xfId="28" xr:uid="{00000000-0005-0000-0000-000020000000}"/>
    <cellStyle name="Normal 2" xfId="6" xr:uid="{00000000-0005-0000-0000-000021000000}"/>
    <cellStyle name="Normal 2 2" xfId="25" xr:uid="{00000000-0005-0000-0000-000022000000}"/>
    <cellStyle name="Normal 20" xfId="34" xr:uid="{00000000-0005-0000-0000-000023000000}"/>
    <cellStyle name="Normal 20 2" xfId="46" xr:uid="{6D6D151B-6B8D-4396-B706-7039B1B72FF9}"/>
    <cellStyle name="Normal 27" xfId="40" xr:uid="{00000000-0005-0000-0000-000024000000}"/>
    <cellStyle name="Normal 3" xfId="20" xr:uid="{00000000-0005-0000-0000-000025000000}"/>
    <cellStyle name="Normal 3 2 2 2 2" xfId="48" xr:uid="{6A8D1984-CF59-404B-A3FA-04B02350A85A}"/>
    <cellStyle name="Normal 30" xfId="26" xr:uid="{00000000-0005-0000-0000-000026000000}"/>
    <cellStyle name="Normal 4" xfId="31" xr:uid="{00000000-0005-0000-0000-000027000000}"/>
    <cellStyle name="Normal 4 2" xfId="33" xr:uid="{00000000-0005-0000-0000-000028000000}"/>
    <cellStyle name="Normal 43" xfId="39" xr:uid="{00000000-0005-0000-0000-000029000000}"/>
    <cellStyle name="Normal 43 2" xfId="42" xr:uid="{00000000-0005-0000-0000-00002A000000}"/>
    <cellStyle name="Normal 5" xfId="44" xr:uid="{E460D0D1-0D1B-4DD4-B734-97BA357FA777}"/>
    <cellStyle name="Normal 5 2 2 5 2" xfId="51" xr:uid="{883203FF-0D75-4F48-A9F6-62163ACDEFDE}"/>
    <cellStyle name="Normal 5 2 3 3 2" xfId="49" xr:uid="{FC032673-D19F-4B03-BB38-C64B8B3FE7EC}"/>
    <cellStyle name="Normal 5 3 2" xfId="47" xr:uid="{3D1F6CD8-BB88-43EF-A1C7-F18962641C11}"/>
    <cellStyle name="Normal 7 2" xfId="45" xr:uid="{66E7F68B-0396-40A3-ACCB-BFFC9F85A0AE}"/>
    <cellStyle name="Numeric" xfId="3" xr:uid="{00000000-0005-0000-0000-00002B000000}"/>
  </cellStyles>
  <dxfs count="0"/>
  <tableStyles count="1" defaultTableStyle="TableStyleMedium2" defaultPivotStyle="PivotStyleLight16">
    <tableStyle name="Invisible" pivot="0" table="0" count="0" xr9:uid="{47C00A41-8393-4B62-B097-7B3957413F7F}"/>
  </tableStyles>
  <colors>
    <mruColors>
      <color rgb="FFFF3399"/>
      <color rgb="FFCC66FF"/>
      <color rgb="FFCC99FF"/>
      <color rgb="FFFF66CC"/>
      <color rgb="FFFFFF99"/>
      <color rgb="FF0000FF"/>
      <color rgb="FF6600FF"/>
      <color rgb="FF9966FF"/>
      <color rgb="FF9933FF"/>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5267324</xdr:colOff>
      <xdr:row>6</xdr:row>
      <xdr:rowOff>0</xdr:rowOff>
    </xdr:from>
    <xdr:to>
      <xdr:col>9</xdr:col>
      <xdr:colOff>9525</xdr:colOff>
      <xdr:row>7</xdr:row>
      <xdr:rowOff>1333500</xdr:rowOff>
    </xdr:to>
    <xdr:pic>
      <xdr:nvPicPr>
        <xdr:cNvPr id="2" name="Imagen 1">
          <a:extLst>
            <a:ext uri="{FF2B5EF4-FFF2-40B4-BE49-F238E27FC236}">
              <a16:creationId xmlns:a16="http://schemas.microsoft.com/office/drawing/2014/main" id="{863801D2-CAB6-4D16-9E31-D1120FB755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05724" y="1476375"/>
          <a:ext cx="8467726" cy="3705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7</xdr:col>
      <xdr:colOff>2494695</xdr:colOff>
      <xdr:row>2</xdr:row>
      <xdr:rowOff>0</xdr:rowOff>
    </xdr:from>
    <xdr:ext cx="47642952" cy="1288256"/>
    <xdr:grpSp>
      <xdr:nvGrpSpPr>
        <xdr:cNvPr id="2" name="Group 4">
          <a:extLst>
            <a:ext uri="{FF2B5EF4-FFF2-40B4-BE49-F238E27FC236}">
              <a16:creationId xmlns:a16="http://schemas.microsoft.com/office/drawing/2014/main" id="{77E88A2A-2ED0-4FE8-99E3-E2A33CEDEEBC}"/>
            </a:ext>
          </a:extLst>
        </xdr:cNvPr>
        <xdr:cNvGrpSpPr>
          <a:grpSpLocks/>
        </xdr:cNvGrpSpPr>
      </xdr:nvGrpSpPr>
      <xdr:grpSpPr bwMode="auto">
        <a:xfrm>
          <a:off x="13856659" y="381000"/>
          <a:ext cx="47642952" cy="1288256"/>
          <a:chOff x="-13" y="0"/>
          <a:chExt cx="1411" cy="146"/>
        </a:xfrm>
      </xdr:grpSpPr>
      <xdr:sp macro="" textlink="">
        <xdr:nvSpPr>
          <xdr:cNvPr id="3" name="1 CuadroTexto">
            <a:extLst>
              <a:ext uri="{FF2B5EF4-FFF2-40B4-BE49-F238E27FC236}">
                <a16:creationId xmlns:a16="http://schemas.microsoft.com/office/drawing/2014/main" id="{E05D35E2-4AAF-9E2C-3611-A2F79DA85314}"/>
              </a:ext>
            </a:extLst>
          </xdr:cNvPr>
          <xdr:cNvSpPr txBox="1">
            <a:spLocks noChangeArrowheads="1"/>
          </xdr:cNvSpPr>
        </xdr:nvSpPr>
        <xdr:spPr bwMode="auto">
          <a:xfrm>
            <a:off x="-13"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12381B2C-6D9E-A575-6A6B-5569696040B3}"/>
              </a:ext>
            </a:extLst>
          </xdr:cNvPr>
          <xdr:cNvSpPr txBox="1">
            <a:spLocks noChangeArrowheads="1"/>
          </xdr:cNvSpPr>
        </xdr:nvSpPr>
        <xdr:spPr bwMode="auto">
          <a:xfrm>
            <a:off x="180" y="0"/>
            <a:ext cx="198"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AECBB6A5-242D-A64A-26ED-FBED02F31378}"/>
              </a:ext>
            </a:extLst>
          </xdr:cNvPr>
          <xdr:cNvSpPr txBox="1">
            <a:spLocks noChangeArrowheads="1"/>
          </xdr:cNvSpPr>
        </xdr:nvSpPr>
        <xdr:spPr bwMode="auto">
          <a:xfrm>
            <a:off x="180" y="61"/>
            <a:ext cx="198" cy="75"/>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CBDC35DD-C2B9-8C6E-5C8A-971320BAB2E3}"/>
              </a:ext>
            </a:extLst>
          </xdr:cNvPr>
          <xdr:cNvSpPr txBox="1">
            <a:spLocks noChangeArrowheads="1"/>
          </xdr:cNvSpPr>
        </xdr:nvSpPr>
        <xdr:spPr bwMode="auto">
          <a:xfrm>
            <a:off x="378" y="0"/>
            <a:ext cx="589" cy="6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ED60675-446C-2A12-C3DC-65CB072C874F}"/>
              </a:ext>
            </a:extLst>
          </xdr:cNvPr>
          <xdr:cNvSpPr txBox="1">
            <a:spLocks noChangeArrowheads="1"/>
          </xdr:cNvSpPr>
        </xdr:nvSpPr>
        <xdr:spPr bwMode="auto">
          <a:xfrm>
            <a:off x="378" y="63"/>
            <a:ext cx="589" cy="73"/>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4877D371-D985-E13A-23B4-BB34AE1E27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3C5CC22B-2231-CEFD-11B0-D929CAC15F11}"/>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E36A1A8F-0FDB-2673-4404-CE3A67DE19B7}"/>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C000AD72-D8EA-7741-EE77-CC10D3031DD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10</a:t>
            </a:r>
          </a:p>
        </xdr:txBody>
      </xdr:sp>
      <xdr:sp macro="" textlink="">
        <xdr:nvSpPr>
          <xdr:cNvPr id="12" name="13 CuadroTexto">
            <a:extLst>
              <a:ext uri="{FF2B5EF4-FFF2-40B4-BE49-F238E27FC236}">
                <a16:creationId xmlns:a16="http://schemas.microsoft.com/office/drawing/2014/main" id="{8ADC822E-2FAF-63A9-ED1D-E6C499A315AB}"/>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A248E7B6-61F9-D7F4-EE52-EEE811A8D9C7}"/>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22/11/2023</a:t>
            </a:r>
          </a:p>
        </xdr:txBody>
      </xdr:sp>
      <xdr:sp macro="" textlink="">
        <xdr:nvSpPr>
          <xdr:cNvPr id="14" name="10 CuadroTexto">
            <a:extLst>
              <a:ext uri="{FF2B5EF4-FFF2-40B4-BE49-F238E27FC236}">
                <a16:creationId xmlns:a16="http://schemas.microsoft.com/office/drawing/2014/main" id="{6AADD275-8718-268D-8EF6-C36580DFC458}"/>
              </a:ext>
            </a:extLst>
          </xdr:cNvPr>
          <xdr:cNvSpPr txBox="1">
            <a:spLocks noChangeArrowheads="1"/>
          </xdr:cNvSpPr>
        </xdr:nvSpPr>
        <xdr:spPr bwMode="auto">
          <a:xfrm>
            <a:off x="-11" y="136"/>
            <a:ext cx="1409" cy="10"/>
          </a:xfrm>
          <a:prstGeom prst="rect">
            <a:avLst/>
          </a:prstGeom>
          <a:solidFill>
            <a:srgbClr val="C0000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2</xdr:col>
      <xdr:colOff>71437</xdr:colOff>
      <xdr:row>0</xdr:row>
      <xdr:rowOff>166689</xdr:rowOff>
    </xdr:from>
    <xdr:to>
      <xdr:col>2</xdr:col>
      <xdr:colOff>2591828</xdr:colOff>
      <xdr:row>4</xdr:row>
      <xdr:rowOff>287408</xdr:rowOff>
    </xdr:to>
    <xdr:pic>
      <xdr:nvPicPr>
        <xdr:cNvPr id="15" name="Imagen 14">
          <a:extLst>
            <a:ext uri="{FF2B5EF4-FFF2-40B4-BE49-F238E27FC236}">
              <a16:creationId xmlns:a16="http://schemas.microsoft.com/office/drawing/2014/main" id="{461457FB-A559-4DD4-8AED-48F62AE907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90687" y="166689"/>
          <a:ext cx="2520391" cy="9289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47625</xdr:colOff>
      <xdr:row>1</xdr:row>
      <xdr:rowOff>57150</xdr:rowOff>
    </xdr:from>
    <xdr:ext cx="39262050" cy="1123950"/>
    <xdr:grpSp>
      <xdr:nvGrpSpPr>
        <xdr:cNvPr id="2" name="Group 4">
          <a:extLst>
            <a:ext uri="{FF2B5EF4-FFF2-40B4-BE49-F238E27FC236}">
              <a16:creationId xmlns:a16="http://schemas.microsoft.com/office/drawing/2014/main" id="{38F29032-4028-4635-A58A-FB6746AC423D}"/>
            </a:ext>
          </a:extLst>
        </xdr:cNvPr>
        <xdr:cNvGrpSpPr>
          <a:grpSpLocks/>
        </xdr:cNvGrpSpPr>
      </xdr:nvGrpSpPr>
      <xdr:grpSpPr bwMode="auto">
        <a:xfrm>
          <a:off x="47625" y="217962"/>
          <a:ext cx="39262050" cy="1123950"/>
          <a:chOff x="-11" y="0"/>
          <a:chExt cx="1408" cy="152"/>
        </a:xfrm>
      </xdr:grpSpPr>
      <xdr:sp macro="" textlink="">
        <xdr:nvSpPr>
          <xdr:cNvPr id="3" name="1 CuadroTexto">
            <a:extLst>
              <a:ext uri="{FF2B5EF4-FFF2-40B4-BE49-F238E27FC236}">
                <a16:creationId xmlns:a16="http://schemas.microsoft.com/office/drawing/2014/main" id="{F8142566-AEC5-96E1-22B2-BD26CA8B642C}"/>
              </a:ext>
            </a:extLst>
          </xdr:cNvPr>
          <xdr:cNvSpPr txBox="1">
            <a:spLocks noChangeArrowheads="1"/>
          </xdr:cNvSpPr>
        </xdr:nvSpPr>
        <xdr:spPr bwMode="auto">
          <a:xfrm>
            <a:off x="-11" y="0"/>
            <a:ext cx="191" cy="136"/>
          </a:xfrm>
          <a:prstGeom prst="rect">
            <a:avLst/>
          </a:prstGeom>
          <a:solidFill>
            <a:srgbClr val="FFFFFF"/>
          </a:solidFill>
          <a:ln w="9525">
            <a:solidFill>
              <a:srgbClr val="000000"/>
            </a:solidFill>
            <a:miter lim="800000"/>
            <a:headEnd/>
            <a:tailEnd/>
          </a:ln>
        </xdr:spPr>
        <xdr:txBody>
          <a:bodyPr/>
          <a:lstStyle/>
          <a:p>
            <a:endParaRPr lang="es-CO"/>
          </a:p>
        </xdr:txBody>
      </xdr:sp>
      <xdr:sp macro="" textlink="">
        <xdr:nvSpPr>
          <xdr:cNvPr id="4" name="3 CuadroTexto">
            <a:extLst>
              <a:ext uri="{FF2B5EF4-FFF2-40B4-BE49-F238E27FC236}">
                <a16:creationId xmlns:a16="http://schemas.microsoft.com/office/drawing/2014/main" id="{BDA02498-F4ED-0820-E08D-6ED0A7656A7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PROCESO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5" name="7 CuadroTexto">
            <a:extLst>
              <a:ext uri="{FF2B5EF4-FFF2-40B4-BE49-F238E27FC236}">
                <a16:creationId xmlns:a16="http://schemas.microsoft.com/office/drawing/2014/main" id="{B62592D4-93FB-EE42-D30C-84B3B8A3DC46}"/>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80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FORMATO</a:t>
            </a:r>
            <a:endParaRPr lang="es-ES" sz="1050" b="1" i="0" strike="noStrike">
              <a:solidFill>
                <a:srgbClr val="000000"/>
              </a:solidFill>
              <a:latin typeface="Arial" panose="020B0604020202020204" pitchFamily="34" charset="0"/>
              <a:cs typeface="Arial" panose="020B0604020202020204" pitchFamily="34" charset="0"/>
            </a:endParaRPr>
          </a:p>
        </xdr:txBody>
      </xdr:sp>
      <xdr:sp macro="" textlink="">
        <xdr:nvSpPr>
          <xdr:cNvPr id="6" name="8 CuadroTexto">
            <a:extLst>
              <a:ext uri="{FF2B5EF4-FFF2-40B4-BE49-F238E27FC236}">
                <a16:creationId xmlns:a16="http://schemas.microsoft.com/office/drawing/2014/main" id="{5DA388D4-D045-9D5F-A493-EAC60FD6420B}"/>
              </a:ext>
            </a:extLst>
          </xdr:cNvPr>
          <xdr:cNvSpPr txBox="1">
            <a:spLocks noChangeArrowheads="1"/>
          </xdr:cNvSpPr>
        </xdr:nvSpPr>
        <xdr:spPr bwMode="auto">
          <a:xfrm>
            <a:off x="378" y="0"/>
            <a:ext cx="589" cy="48"/>
          </a:xfrm>
          <a:prstGeom prst="rect">
            <a:avLst/>
          </a:prstGeom>
          <a:noFill/>
          <a:ln w="9525">
            <a:solidFill>
              <a:srgbClr val="000000"/>
            </a:solidFill>
            <a:miter lim="800000"/>
            <a:headEnd/>
            <a:tailEnd/>
          </a:ln>
        </xdr:spPr>
        <xdr:txBody>
          <a:bodyPr vertOverflow="clip" wrap="square" lIns="90000" tIns="216000" rIns="9000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GESTIÓN FINANCIERA</a:t>
            </a:r>
          </a:p>
        </xdr:txBody>
      </xdr:sp>
      <xdr:sp macro="" textlink="">
        <xdr:nvSpPr>
          <xdr:cNvPr id="7" name="10 CuadroTexto">
            <a:extLst>
              <a:ext uri="{FF2B5EF4-FFF2-40B4-BE49-F238E27FC236}">
                <a16:creationId xmlns:a16="http://schemas.microsoft.com/office/drawing/2014/main" id="{B5FA13C8-50B6-33FA-9C26-83A464147192}"/>
              </a:ext>
            </a:extLst>
          </xdr:cNvPr>
          <xdr:cNvSpPr txBox="1">
            <a:spLocks noChangeArrowheads="1"/>
          </xdr:cNvSpPr>
        </xdr:nvSpPr>
        <xdr:spPr bwMode="auto">
          <a:xfrm>
            <a:off x="378" y="48"/>
            <a:ext cx="589" cy="88"/>
          </a:xfrm>
          <a:prstGeom prst="rect">
            <a:avLst/>
          </a:prstGeom>
          <a:noFill/>
          <a:ln w="9525">
            <a:solidFill>
              <a:srgbClr val="000000"/>
            </a:solidFill>
            <a:miter lim="800000"/>
            <a:headEnd/>
            <a:tailEnd/>
          </a:ln>
        </xdr:spPr>
        <xdr:txBody>
          <a:bodyPr vertOverflow="clip" wrap="square" lIns="0" tIns="180000" rIns="0" bIns="46800" anchor="t"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PLAN ANUAL DE ADQUISICIONES</a:t>
            </a:r>
          </a:p>
          <a:p>
            <a:pPr lvl="0" algn="ctr" rtl="0">
              <a:defRPr sz="1000"/>
            </a:pPr>
            <a:r>
              <a:rPr lang="es-ES" sz="1200" b="1" i="0" strike="noStrike">
                <a:solidFill>
                  <a:srgbClr val="000000"/>
                </a:solidFill>
                <a:latin typeface="Arial" panose="020B0604020202020204" pitchFamily="34" charset="0"/>
                <a:cs typeface="Arial" panose="020B0604020202020204" pitchFamily="34" charset="0"/>
              </a:rPr>
              <a:t>ANEXO 1</a:t>
            </a:r>
          </a:p>
        </xdr:txBody>
      </xdr:sp>
      <xdr:sp macro="" textlink="">
        <xdr:nvSpPr>
          <xdr:cNvPr id="8" name="12 CuadroTexto">
            <a:extLst>
              <a:ext uri="{FF2B5EF4-FFF2-40B4-BE49-F238E27FC236}">
                <a16:creationId xmlns:a16="http://schemas.microsoft.com/office/drawing/2014/main" id="{FD52D096-6A3A-8FB9-850D-FABEBFCDE032}"/>
              </a:ext>
            </a:extLst>
          </xdr:cNvPr>
          <xdr:cNvSpPr txBox="1">
            <a:spLocks noChangeArrowheads="1"/>
          </xdr:cNvSpPr>
        </xdr:nvSpPr>
        <xdr:spPr bwMode="auto">
          <a:xfrm>
            <a:off x="967" y="0"/>
            <a:ext cx="214"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VERSIÓN</a:t>
            </a:r>
          </a:p>
        </xdr:txBody>
      </xdr:sp>
      <xdr:sp macro="" textlink="">
        <xdr:nvSpPr>
          <xdr:cNvPr id="9" name="13 CuadroTexto">
            <a:extLst>
              <a:ext uri="{FF2B5EF4-FFF2-40B4-BE49-F238E27FC236}">
                <a16:creationId xmlns:a16="http://schemas.microsoft.com/office/drawing/2014/main" id="{6F342DEC-B831-2B3F-094F-7EEB24BCF76A}"/>
              </a:ext>
            </a:extLst>
          </xdr:cNvPr>
          <xdr:cNvSpPr txBox="1">
            <a:spLocks noChangeArrowheads="1"/>
          </xdr:cNvSpPr>
        </xdr:nvSpPr>
        <xdr:spPr bwMode="auto">
          <a:xfrm>
            <a:off x="967" y="47"/>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PÁGINA</a:t>
            </a:r>
          </a:p>
        </xdr:txBody>
      </xdr:sp>
      <xdr:sp macro="" textlink="">
        <xdr:nvSpPr>
          <xdr:cNvPr id="10" name="14 CuadroTexto">
            <a:extLst>
              <a:ext uri="{FF2B5EF4-FFF2-40B4-BE49-F238E27FC236}">
                <a16:creationId xmlns:a16="http://schemas.microsoft.com/office/drawing/2014/main" id="{CFF2266F-50CD-5C9B-9DD5-34DEB13A7236}"/>
              </a:ext>
            </a:extLst>
          </xdr:cNvPr>
          <xdr:cNvSpPr txBox="1">
            <a:spLocks noChangeArrowheads="1"/>
          </xdr:cNvSpPr>
        </xdr:nvSpPr>
        <xdr:spPr bwMode="auto">
          <a:xfrm>
            <a:off x="967" y="91"/>
            <a:ext cx="214"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VIGENTE DESDE</a:t>
            </a:r>
          </a:p>
        </xdr:txBody>
      </xdr:sp>
      <xdr:sp macro="" textlink="">
        <xdr:nvSpPr>
          <xdr:cNvPr id="11" name="12 CuadroTexto">
            <a:extLst>
              <a:ext uri="{FF2B5EF4-FFF2-40B4-BE49-F238E27FC236}">
                <a16:creationId xmlns:a16="http://schemas.microsoft.com/office/drawing/2014/main" id="{5E0649EA-9E54-FDE6-FCEB-A14CD6EAEA86}"/>
              </a:ext>
            </a:extLst>
          </xdr:cNvPr>
          <xdr:cNvSpPr txBox="1">
            <a:spLocks noChangeArrowheads="1"/>
          </xdr:cNvSpPr>
        </xdr:nvSpPr>
        <xdr:spPr bwMode="auto">
          <a:xfrm>
            <a:off x="1181" y="0"/>
            <a:ext cx="216" cy="47"/>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08</a:t>
            </a:r>
          </a:p>
        </xdr:txBody>
      </xdr:sp>
      <xdr:sp macro="" textlink="">
        <xdr:nvSpPr>
          <xdr:cNvPr id="12" name="13 CuadroTexto">
            <a:extLst>
              <a:ext uri="{FF2B5EF4-FFF2-40B4-BE49-F238E27FC236}">
                <a16:creationId xmlns:a16="http://schemas.microsoft.com/office/drawing/2014/main" id="{35DB10EB-05CA-F711-7B3C-47423C9F56A7}"/>
              </a:ext>
            </a:extLst>
          </xdr:cNvPr>
          <xdr:cNvSpPr txBox="1">
            <a:spLocks noChangeArrowheads="1"/>
          </xdr:cNvSpPr>
        </xdr:nvSpPr>
        <xdr:spPr bwMode="auto">
          <a:xfrm>
            <a:off x="1181" y="47"/>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 DE 1</a:t>
            </a:r>
          </a:p>
        </xdr:txBody>
      </xdr:sp>
      <xdr:sp macro="" textlink="">
        <xdr:nvSpPr>
          <xdr:cNvPr id="13" name="14 CuadroTexto">
            <a:extLst>
              <a:ext uri="{FF2B5EF4-FFF2-40B4-BE49-F238E27FC236}">
                <a16:creationId xmlns:a16="http://schemas.microsoft.com/office/drawing/2014/main" id="{DD312BCD-6D22-2750-2F01-BF3CDFBDD23A}"/>
              </a:ext>
            </a:extLst>
          </xdr:cNvPr>
          <xdr:cNvSpPr txBox="1">
            <a:spLocks noChangeArrowheads="1"/>
          </xdr:cNvSpPr>
        </xdr:nvSpPr>
        <xdr:spPr bwMode="auto">
          <a:xfrm>
            <a:off x="1181" y="91"/>
            <a:ext cx="216" cy="44"/>
          </a:xfrm>
          <a:prstGeom prst="rect">
            <a:avLst/>
          </a:prstGeom>
          <a:noFill/>
          <a:ln w="9525">
            <a:solidFill>
              <a:srgbClr val="000000"/>
            </a:solidFill>
            <a:miter lim="800000"/>
            <a:headEnd/>
            <a:tailEnd/>
          </a:ln>
        </xdr:spPr>
        <xdr:txBody>
          <a:bodyPr vertOverflow="clip" wrap="square" lIns="0" tIns="0" rIns="0" bIns="0" anchor="ctr" upright="1"/>
          <a:lstStyle/>
          <a:p>
            <a:pPr lvl="0" algn="ctr" rtl="0">
              <a:defRPr sz="1000"/>
            </a:pPr>
            <a:r>
              <a:rPr lang="es-ES" sz="1200" b="1" i="0" strike="noStrike">
                <a:solidFill>
                  <a:srgbClr val="000000"/>
                </a:solidFill>
                <a:latin typeface="Arial" panose="020B0604020202020204" pitchFamily="34" charset="0"/>
                <a:cs typeface="Arial" panose="020B0604020202020204" pitchFamily="34" charset="0"/>
              </a:rPr>
              <a:t>15/04/2020</a:t>
            </a:r>
          </a:p>
        </xdr:txBody>
      </xdr:sp>
      <xdr:sp macro="" textlink="">
        <xdr:nvSpPr>
          <xdr:cNvPr id="14" name="10 CuadroTexto">
            <a:extLst>
              <a:ext uri="{FF2B5EF4-FFF2-40B4-BE49-F238E27FC236}">
                <a16:creationId xmlns:a16="http://schemas.microsoft.com/office/drawing/2014/main" id="{475ABE62-EDAE-1CF6-4298-939C6089E84E}"/>
              </a:ext>
            </a:extLst>
          </xdr:cNvPr>
          <xdr:cNvSpPr txBox="1">
            <a:spLocks noChangeArrowheads="1"/>
          </xdr:cNvSpPr>
        </xdr:nvSpPr>
        <xdr:spPr bwMode="auto">
          <a:xfrm>
            <a:off x="-11" y="136"/>
            <a:ext cx="1408" cy="16"/>
          </a:xfrm>
          <a:prstGeom prst="rect">
            <a:avLst/>
          </a:prstGeom>
          <a:solidFill>
            <a:srgbClr val="00B0F0"/>
          </a:solidFill>
          <a:ln w="9525">
            <a:solidFill>
              <a:srgbClr val="000000"/>
            </a:solidFill>
            <a:miter lim="800000"/>
            <a:headEnd/>
            <a:tailEnd/>
          </a:ln>
        </xdr:spPr>
        <xdr:txBody>
          <a:bodyPr vertOverflow="clip" wrap="square" lIns="0" tIns="0" rIns="0" bIns="0" anchor="t" upright="1"/>
          <a:lstStyle/>
          <a:p>
            <a:pPr lvl="0" algn="ctr" rtl="0">
              <a:defRPr sz="1000"/>
            </a:pPr>
            <a:r>
              <a:rPr lang="es-ES" sz="1050" b="1">
                <a:solidFill>
                  <a:schemeClr val="bg1"/>
                </a:solidFill>
                <a:latin typeface="Arial" panose="020B0604020202020204" pitchFamily="34" charset="0"/>
                <a:ea typeface="+mn-ea"/>
                <a:cs typeface="Arial" panose="020B0604020202020204" pitchFamily="34" charset="0"/>
              </a:rPr>
              <a:t>COPIA CONTROLADA</a:t>
            </a:r>
            <a:endParaRPr lang="es-ES" sz="1050" b="1" i="0" strike="noStrike">
              <a:solidFill>
                <a:schemeClr val="bg1"/>
              </a:solidFill>
              <a:latin typeface="Arial" panose="020B0604020202020204" pitchFamily="34" charset="0"/>
              <a:cs typeface="Arial" panose="020B0604020202020204" pitchFamily="34" charset="0"/>
            </a:endParaRPr>
          </a:p>
        </xdr:txBody>
      </xdr:sp>
    </xdr:grpSp>
    <xdr:clientData fLocksWithSheet="0"/>
  </xdr:oneCellAnchor>
  <xdr:twoCellAnchor editAs="oneCell">
    <xdr:from>
      <xdr:col>0</xdr:col>
      <xdr:colOff>139412</xdr:colOff>
      <xdr:row>1</xdr:row>
      <xdr:rowOff>117764</xdr:rowOff>
    </xdr:from>
    <xdr:to>
      <xdr:col>3</xdr:col>
      <xdr:colOff>472787</xdr:colOff>
      <xdr:row>5</xdr:row>
      <xdr:rowOff>507176</xdr:rowOff>
    </xdr:to>
    <xdr:pic>
      <xdr:nvPicPr>
        <xdr:cNvPr id="15" name="Imagen 14">
          <a:extLst>
            <a:ext uri="{FF2B5EF4-FFF2-40B4-BE49-F238E27FC236}">
              <a16:creationId xmlns:a16="http://schemas.microsoft.com/office/drawing/2014/main" id="{71F5E689-CCE7-4BFB-ABCF-B7873D2119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412" y="325582"/>
          <a:ext cx="5078557" cy="10252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7">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76C8EB7-B664-444E-923B-0A1D51BD990B}">
  <we:reference id="wa200005502" version="1.0.0.11" store="es-CO" storeType="OMEX"/>
  <we:alternateReferences>
    <we:reference id="WA200005502" version="1.0.0.11" store="" storeType="OMEX"/>
  </we:alternateReferences>
  <we:properties>
    <we:property name="docId" value="&quot;ZuX3S90dfufl-3oPPHh0S&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edgar.gonzalez@mininterior.gov.co" TargetMode="External"/><Relationship Id="rId299" Type="http://schemas.openxmlformats.org/officeDocument/2006/relationships/hyperlink" Target="mailto:idalmy.minotta@mininterior.gov.co" TargetMode="External"/><Relationship Id="rId21" Type="http://schemas.openxmlformats.org/officeDocument/2006/relationships/hyperlink" Target="mailto:edgar.gonzalez@mininterior.gov.co" TargetMode="External"/><Relationship Id="rId63" Type="http://schemas.openxmlformats.org/officeDocument/2006/relationships/hyperlink" Target="mailto:edgar.gonzalez@mininterior.gov.co" TargetMode="External"/><Relationship Id="rId159" Type="http://schemas.openxmlformats.org/officeDocument/2006/relationships/hyperlink" Target="mailto:rodolfo.vega@mininterior.gov.co" TargetMode="External"/><Relationship Id="rId324" Type="http://schemas.openxmlformats.org/officeDocument/2006/relationships/hyperlink" Target="mailto:idalmy.minotta@mininterior.gov.co" TargetMode="External"/><Relationship Id="rId366" Type="http://schemas.openxmlformats.org/officeDocument/2006/relationships/hyperlink" Target="mailto:cesar.fandino@mininterior.gov.co" TargetMode="External"/><Relationship Id="rId170" Type="http://schemas.openxmlformats.org/officeDocument/2006/relationships/hyperlink" Target="mailto:rodolfo.vega@mininterior.gov.co" TargetMode="External"/><Relationship Id="rId226" Type="http://schemas.openxmlformats.org/officeDocument/2006/relationships/hyperlink" Target="mailto:hermes.perez@mininterior.gov.co" TargetMode="External"/><Relationship Id="rId433" Type="http://schemas.openxmlformats.org/officeDocument/2006/relationships/hyperlink" Target="mailto:cesar.fandino@mininterior.gov.co" TargetMode="External"/><Relationship Id="rId268" Type="http://schemas.openxmlformats.org/officeDocument/2006/relationships/hyperlink" Target="mailto:franklin.castaneda@mininterior.gov.co" TargetMode="External"/><Relationship Id="rId32" Type="http://schemas.openxmlformats.org/officeDocument/2006/relationships/hyperlink" Target="mailto:edgar.gonzalez@mininterior.gov.co" TargetMode="External"/><Relationship Id="rId74" Type="http://schemas.openxmlformats.org/officeDocument/2006/relationships/hyperlink" Target="mailto:edgar.gonzalez@mininterior.gov.co" TargetMode="External"/><Relationship Id="rId128" Type="http://schemas.openxmlformats.org/officeDocument/2006/relationships/hyperlink" Target="mailto:edgar.gonzalez@mininterior.gov.co" TargetMode="External"/><Relationship Id="rId335" Type="http://schemas.openxmlformats.org/officeDocument/2006/relationships/hyperlink" Target="mailto:carlos.prada@mininterior.gov.co" TargetMode="External"/><Relationship Id="rId377" Type="http://schemas.openxmlformats.org/officeDocument/2006/relationships/hyperlink" Target="mailto:cesar.fandino@mininterior.gov.co" TargetMode="External"/><Relationship Id="rId5" Type="http://schemas.openxmlformats.org/officeDocument/2006/relationships/hyperlink" Target="mailto:diana.vivas@mininterior.gov.co" TargetMode="External"/><Relationship Id="rId181" Type="http://schemas.openxmlformats.org/officeDocument/2006/relationships/hyperlink" Target="mailto:rodolfo.vega@mininterior.gov.co" TargetMode="External"/><Relationship Id="rId237" Type="http://schemas.openxmlformats.org/officeDocument/2006/relationships/hyperlink" Target="mailto:john.sabogal@mininterior.gov.co" TargetMode="External"/><Relationship Id="rId402" Type="http://schemas.openxmlformats.org/officeDocument/2006/relationships/hyperlink" Target="mailto:cesar.fandino@mininterior.gov.co" TargetMode="External"/><Relationship Id="rId279" Type="http://schemas.openxmlformats.org/officeDocument/2006/relationships/hyperlink" Target="mailto:diana.vivas@mininterior.gov.co" TargetMode="External"/><Relationship Id="rId444" Type="http://schemas.openxmlformats.org/officeDocument/2006/relationships/hyperlink" Target="mailto:diego.karachas@mininterior.gov.co" TargetMode="External"/><Relationship Id="rId43" Type="http://schemas.openxmlformats.org/officeDocument/2006/relationships/hyperlink" Target="mailto:edgar.gonzalez@mininterior.gov.co" TargetMode="External"/><Relationship Id="rId139" Type="http://schemas.openxmlformats.org/officeDocument/2006/relationships/hyperlink" Target="mailto:edgar.gonzalez@mininterior.gov.co" TargetMode="External"/><Relationship Id="rId290" Type="http://schemas.openxmlformats.org/officeDocument/2006/relationships/hyperlink" Target="mailto:idalmy.minotta@mininterior.gov.co" TargetMode="External"/><Relationship Id="rId304" Type="http://schemas.openxmlformats.org/officeDocument/2006/relationships/hyperlink" Target="mailto:idalmy.minotta@mininterior.gov.co" TargetMode="External"/><Relationship Id="rId346" Type="http://schemas.openxmlformats.org/officeDocument/2006/relationships/hyperlink" Target="mailto:carlos.cordobam@mininterior.gov.co" TargetMode="External"/><Relationship Id="rId388" Type="http://schemas.openxmlformats.org/officeDocument/2006/relationships/hyperlink" Target="mailto:esperanza.moreno@mininterior.gov.co" TargetMode="External"/><Relationship Id="rId85" Type="http://schemas.openxmlformats.org/officeDocument/2006/relationships/hyperlink" Target="mailto:edgar.gonzalez@mininterior.gov.co" TargetMode="External"/><Relationship Id="rId150" Type="http://schemas.openxmlformats.org/officeDocument/2006/relationships/hyperlink" Target="mailto:rodolfo.vega@mininterior.gov.co" TargetMode="External"/><Relationship Id="rId192" Type="http://schemas.openxmlformats.org/officeDocument/2006/relationships/hyperlink" Target="mailto:rodolfo.vega@mininterior.gov.co" TargetMode="External"/><Relationship Id="rId206" Type="http://schemas.openxmlformats.org/officeDocument/2006/relationships/hyperlink" Target="mailto:yuly.manosalva@mininterior.gov.co" TargetMode="External"/><Relationship Id="rId413" Type="http://schemas.openxmlformats.org/officeDocument/2006/relationships/hyperlink" Target="mailto:cesar.fandino@mininterior.gov.co" TargetMode="External"/><Relationship Id="rId248" Type="http://schemas.openxmlformats.org/officeDocument/2006/relationships/hyperlink" Target="mailto:edgar.gonzalez@mininterior.gov.co" TargetMode="External"/><Relationship Id="rId12" Type="http://schemas.openxmlformats.org/officeDocument/2006/relationships/hyperlink" Target="mailto:yuly.manosalva@mininterior.gov.co" TargetMode="External"/><Relationship Id="rId108" Type="http://schemas.openxmlformats.org/officeDocument/2006/relationships/hyperlink" Target="mailto:edgar.gonzalez@mininterior.gov.co" TargetMode="External"/><Relationship Id="rId315" Type="http://schemas.openxmlformats.org/officeDocument/2006/relationships/hyperlink" Target="mailto:idalmy.minotta@mininterior.gov.co" TargetMode="External"/><Relationship Id="rId357" Type="http://schemas.openxmlformats.org/officeDocument/2006/relationships/hyperlink" Target="mailto:carlos.cordobam@mininterior.gov.co" TargetMode="External"/><Relationship Id="rId54" Type="http://schemas.openxmlformats.org/officeDocument/2006/relationships/hyperlink" Target="mailto:edgar.gonzalez@mininterior.gov.co" TargetMode="External"/><Relationship Id="rId96" Type="http://schemas.openxmlformats.org/officeDocument/2006/relationships/hyperlink" Target="mailto:edgar.gonzalez@mininterior.gov.co" TargetMode="External"/><Relationship Id="rId161" Type="http://schemas.openxmlformats.org/officeDocument/2006/relationships/hyperlink" Target="mailto:rodolfo.vega@mininterior.gov.co" TargetMode="External"/><Relationship Id="rId217" Type="http://schemas.openxmlformats.org/officeDocument/2006/relationships/hyperlink" Target="mailto:rodolfo.vega@mininterior.gov.co" TargetMode="External"/><Relationship Id="rId399" Type="http://schemas.openxmlformats.org/officeDocument/2006/relationships/hyperlink" Target="mailto:cesar.fandino@mininterior.gov.co" TargetMode="External"/><Relationship Id="rId259" Type="http://schemas.openxmlformats.org/officeDocument/2006/relationships/hyperlink" Target="mailto:edgar.gonzalez@mininterior.gov.co" TargetMode="External"/><Relationship Id="rId424" Type="http://schemas.openxmlformats.org/officeDocument/2006/relationships/hyperlink" Target="mailto:cesar.fandino@mininterior.gov.co" TargetMode="External"/><Relationship Id="rId23" Type="http://schemas.openxmlformats.org/officeDocument/2006/relationships/hyperlink" Target="mailto:edgar.gonzalez@mininterior.gov.co" TargetMode="External"/><Relationship Id="rId119" Type="http://schemas.openxmlformats.org/officeDocument/2006/relationships/hyperlink" Target="mailto:edgar.gonzalez@mininterior.gov.co" TargetMode="External"/><Relationship Id="rId270" Type="http://schemas.openxmlformats.org/officeDocument/2006/relationships/hyperlink" Target="mailto:franklin.castaneda@mininterior.gov.co" TargetMode="External"/><Relationship Id="rId326" Type="http://schemas.openxmlformats.org/officeDocument/2006/relationships/hyperlink" Target="mailto:carlos.prada@mininterior.gov.co" TargetMode="External"/><Relationship Id="rId65" Type="http://schemas.openxmlformats.org/officeDocument/2006/relationships/hyperlink" Target="mailto:edgar.gonzalez@mininterior.gov.co" TargetMode="External"/><Relationship Id="rId130" Type="http://schemas.openxmlformats.org/officeDocument/2006/relationships/hyperlink" Target="mailto:edgar.gonzalez@mininterior.gov.co" TargetMode="External"/><Relationship Id="rId368" Type="http://schemas.openxmlformats.org/officeDocument/2006/relationships/hyperlink" Target="mailto:cesar.fandino@mininterior.gov.co" TargetMode="External"/><Relationship Id="rId172" Type="http://schemas.openxmlformats.org/officeDocument/2006/relationships/hyperlink" Target="mailto:rodolfo.vega@mininterior.gov.co" TargetMode="External"/><Relationship Id="rId228" Type="http://schemas.openxmlformats.org/officeDocument/2006/relationships/hyperlink" Target="mailto:hermes.perez@mininterior.gov.co" TargetMode="External"/><Relationship Id="rId435" Type="http://schemas.openxmlformats.org/officeDocument/2006/relationships/hyperlink" Target="mailto:cesar.fandino@mininterior.gov.co" TargetMode="External"/><Relationship Id="rId281" Type="http://schemas.openxmlformats.org/officeDocument/2006/relationships/hyperlink" Target="mailto:diana.vivas@mininterior.gov.co" TargetMode="External"/><Relationship Id="rId337" Type="http://schemas.openxmlformats.org/officeDocument/2006/relationships/hyperlink" Target="mailto:carlos.cordobam@mininterior.gov.co" TargetMode="External"/><Relationship Id="rId34" Type="http://schemas.openxmlformats.org/officeDocument/2006/relationships/hyperlink" Target="mailto:edgar.gonzalez@mininterior.gov.co" TargetMode="External"/><Relationship Id="rId76" Type="http://schemas.openxmlformats.org/officeDocument/2006/relationships/hyperlink" Target="mailto:edgar.gonzalez@mininterior.gov.co" TargetMode="External"/><Relationship Id="rId141" Type="http://schemas.openxmlformats.org/officeDocument/2006/relationships/hyperlink" Target="mailto:esperanza.moreno@mininterior.gov.co" TargetMode="External"/><Relationship Id="rId379" Type="http://schemas.openxmlformats.org/officeDocument/2006/relationships/hyperlink" Target="mailto:cesar.fandino@mininterior.gov.co" TargetMode="External"/><Relationship Id="rId7" Type="http://schemas.openxmlformats.org/officeDocument/2006/relationships/hyperlink" Target="mailto:yuly.manosalva@mininterior.gov.co" TargetMode="External"/><Relationship Id="rId183" Type="http://schemas.openxmlformats.org/officeDocument/2006/relationships/hyperlink" Target="mailto:rodolfo.vega@mininterior.gov.co" TargetMode="External"/><Relationship Id="rId239" Type="http://schemas.openxmlformats.org/officeDocument/2006/relationships/hyperlink" Target="mailto:edgar.gonzalez@mininterior.gov.co" TargetMode="External"/><Relationship Id="rId390" Type="http://schemas.openxmlformats.org/officeDocument/2006/relationships/hyperlink" Target="mailto:esperanza.moreno@mininterior.gov.co" TargetMode="External"/><Relationship Id="rId404" Type="http://schemas.openxmlformats.org/officeDocument/2006/relationships/hyperlink" Target="mailto:cesar.fandino@mininterior.gov.co" TargetMode="External"/><Relationship Id="rId446" Type="http://schemas.openxmlformats.org/officeDocument/2006/relationships/printerSettings" Target="../printerSettings/printerSettings2.bin"/><Relationship Id="rId250" Type="http://schemas.openxmlformats.org/officeDocument/2006/relationships/hyperlink" Target="mailto:edgar.gonzalez@mininterior.gov.co" TargetMode="External"/><Relationship Id="rId292" Type="http://schemas.openxmlformats.org/officeDocument/2006/relationships/hyperlink" Target="mailto:idalmy.minotta@mininterior.gov.co" TargetMode="External"/><Relationship Id="rId306" Type="http://schemas.openxmlformats.org/officeDocument/2006/relationships/hyperlink" Target="mailto:idalmy.minotta@mininterior.gov.co" TargetMode="External"/><Relationship Id="rId45" Type="http://schemas.openxmlformats.org/officeDocument/2006/relationships/hyperlink" Target="mailto:edgar.gonzalez@mininterior.gov.co" TargetMode="External"/><Relationship Id="rId87" Type="http://schemas.openxmlformats.org/officeDocument/2006/relationships/hyperlink" Target="mailto:edgar.gonzalez@mininterior.gov.co" TargetMode="External"/><Relationship Id="rId110" Type="http://schemas.openxmlformats.org/officeDocument/2006/relationships/hyperlink" Target="mailto:edgar.gonzalez@mininterior.gov.co" TargetMode="External"/><Relationship Id="rId348" Type="http://schemas.openxmlformats.org/officeDocument/2006/relationships/hyperlink" Target="mailto:carlos.cordobam@mininterior.gov.co" TargetMode="External"/><Relationship Id="rId152" Type="http://schemas.openxmlformats.org/officeDocument/2006/relationships/hyperlink" Target="mailto:rodolfo.vega@mininterior.gov.co" TargetMode="External"/><Relationship Id="rId194" Type="http://schemas.openxmlformats.org/officeDocument/2006/relationships/hyperlink" Target="mailto:rodolfo.vega@mininterior.gov.co" TargetMode="External"/><Relationship Id="rId208" Type="http://schemas.openxmlformats.org/officeDocument/2006/relationships/hyperlink" Target="mailto:edgar.gonzalez@mininterior.gov.co" TargetMode="External"/><Relationship Id="rId415" Type="http://schemas.openxmlformats.org/officeDocument/2006/relationships/hyperlink" Target="mailto:cesar.fandino@mininterior.gov.co" TargetMode="External"/><Relationship Id="rId261" Type="http://schemas.openxmlformats.org/officeDocument/2006/relationships/hyperlink" Target="mailto:edgar.gonzalez@mininterior.gov.co" TargetMode="External"/><Relationship Id="rId14" Type="http://schemas.openxmlformats.org/officeDocument/2006/relationships/hyperlink" Target="mailto:yuly.manosalva@mininterior.gov.co" TargetMode="External"/><Relationship Id="rId56" Type="http://schemas.openxmlformats.org/officeDocument/2006/relationships/hyperlink" Target="mailto:edgar.gonzalez@mininterior.gov.co" TargetMode="External"/><Relationship Id="rId317" Type="http://schemas.openxmlformats.org/officeDocument/2006/relationships/hyperlink" Target="mailto:idalmy.minotta@mininterior.gov.co" TargetMode="External"/><Relationship Id="rId359" Type="http://schemas.openxmlformats.org/officeDocument/2006/relationships/hyperlink" Target="mailto:carlos.cordobam@mininterior.gov.co" TargetMode="External"/><Relationship Id="rId98" Type="http://schemas.openxmlformats.org/officeDocument/2006/relationships/hyperlink" Target="mailto:edgar.gonzalez@mininterior.gov.co" TargetMode="External"/><Relationship Id="rId121" Type="http://schemas.openxmlformats.org/officeDocument/2006/relationships/hyperlink" Target="mailto:edgar.gonzalez@mininterior.gov.co" TargetMode="External"/><Relationship Id="rId163" Type="http://schemas.openxmlformats.org/officeDocument/2006/relationships/hyperlink" Target="mailto:rodolfo.vega@mininterior.gov.co" TargetMode="External"/><Relationship Id="rId219" Type="http://schemas.openxmlformats.org/officeDocument/2006/relationships/hyperlink" Target="mailto:edgar.gonzalez@mininterior.gov.co" TargetMode="External"/><Relationship Id="rId370" Type="http://schemas.openxmlformats.org/officeDocument/2006/relationships/hyperlink" Target="mailto:cesar.fandino@mininterior.gov.co" TargetMode="External"/><Relationship Id="rId426" Type="http://schemas.openxmlformats.org/officeDocument/2006/relationships/hyperlink" Target="mailto:cesar.fandino@mininterior.gov.co" TargetMode="External"/><Relationship Id="rId230" Type="http://schemas.openxmlformats.org/officeDocument/2006/relationships/hyperlink" Target="mailto:hermes.perez@mininterior.gov.co" TargetMode="External"/><Relationship Id="rId25" Type="http://schemas.openxmlformats.org/officeDocument/2006/relationships/hyperlink" Target="mailto:edgar.gonzalez@mininterior.gov.co" TargetMode="External"/><Relationship Id="rId67" Type="http://schemas.openxmlformats.org/officeDocument/2006/relationships/hyperlink" Target="mailto:edgar.gonzalez@mininterior.gov.co" TargetMode="External"/><Relationship Id="rId272" Type="http://schemas.openxmlformats.org/officeDocument/2006/relationships/hyperlink" Target="mailto:franklin.castaneda@mininterior.gov.co" TargetMode="External"/><Relationship Id="rId328" Type="http://schemas.openxmlformats.org/officeDocument/2006/relationships/hyperlink" Target="mailto:carlos.prada@mininterior.gov.co" TargetMode="External"/><Relationship Id="rId132" Type="http://schemas.openxmlformats.org/officeDocument/2006/relationships/hyperlink" Target="mailto:edgar.gonzalez@mininterior.gov.co" TargetMode="External"/><Relationship Id="rId174" Type="http://schemas.openxmlformats.org/officeDocument/2006/relationships/hyperlink" Target="mailto:rodolfo.vega@mininterior.gov.co" TargetMode="External"/><Relationship Id="rId381" Type="http://schemas.openxmlformats.org/officeDocument/2006/relationships/hyperlink" Target="mailto:cesar.fandino@mininterior.gov.co" TargetMode="External"/><Relationship Id="rId241" Type="http://schemas.openxmlformats.org/officeDocument/2006/relationships/hyperlink" Target="mailto:sandra.contreras@mininterior.gov.co" TargetMode="External"/><Relationship Id="rId437" Type="http://schemas.openxmlformats.org/officeDocument/2006/relationships/hyperlink" Target="mailto:cesar.fandino@mininterior.gov.co" TargetMode="External"/><Relationship Id="rId36" Type="http://schemas.openxmlformats.org/officeDocument/2006/relationships/hyperlink" Target="mailto:edgar.gonzalez@mininterior.gov.co" TargetMode="External"/><Relationship Id="rId283" Type="http://schemas.openxmlformats.org/officeDocument/2006/relationships/hyperlink" Target="mailto:diana.vivas@mininterior.gov.co" TargetMode="External"/><Relationship Id="rId339" Type="http://schemas.openxmlformats.org/officeDocument/2006/relationships/hyperlink" Target="mailto:carlos.cordobam@mininterior.gov.co" TargetMode="External"/><Relationship Id="rId78" Type="http://schemas.openxmlformats.org/officeDocument/2006/relationships/hyperlink" Target="mailto:edgar.gonzalez@mininterior.gov.co" TargetMode="External"/><Relationship Id="rId101" Type="http://schemas.openxmlformats.org/officeDocument/2006/relationships/hyperlink" Target="mailto:edgar.gonzalez@mininterior.gov.co" TargetMode="External"/><Relationship Id="rId143" Type="http://schemas.openxmlformats.org/officeDocument/2006/relationships/hyperlink" Target="mailto:esperanza.moreno@mininterior.gov.co" TargetMode="External"/><Relationship Id="rId185" Type="http://schemas.openxmlformats.org/officeDocument/2006/relationships/hyperlink" Target="mailto:rodolfo.vega@mininterior.gov.co" TargetMode="External"/><Relationship Id="rId350" Type="http://schemas.openxmlformats.org/officeDocument/2006/relationships/hyperlink" Target="mailto:carlos.cordobam@mininterior.gov.co" TargetMode="External"/><Relationship Id="rId406" Type="http://schemas.openxmlformats.org/officeDocument/2006/relationships/hyperlink" Target="mailto:cesar.fandino@mininterior.gov.co" TargetMode="External"/><Relationship Id="rId9" Type="http://schemas.openxmlformats.org/officeDocument/2006/relationships/hyperlink" Target="mailto:yuly.manosalva@mininterior.gov.co" TargetMode="External"/><Relationship Id="rId210" Type="http://schemas.openxmlformats.org/officeDocument/2006/relationships/hyperlink" Target="mailto:amelia.cotes@mininterior.gov.co" TargetMode="External"/><Relationship Id="rId392" Type="http://schemas.openxmlformats.org/officeDocument/2006/relationships/hyperlink" Target="mailto:cesar.fandino@mininterior.gov.co" TargetMode="External"/><Relationship Id="rId252" Type="http://schemas.openxmlformats.org/officeDocument/2006/relationships/hyperlink" Target="mailto:edgar.gonzalez@mininterior.gov.co" TargetMode="External"/><Relationship Id="rId294" Type="http://schemas.openxmlformats.org/officeDocument/2006/relationships/hyperlink" Target="mailto:idalmy.minotta@mininterior.gov.co" TargetMode="External"/><Relationship Id="rId308" Type="http://schemas.openxmlformats.org/officeDocument/2006/relationships/hyperlink" Target="mailto:idalmy.minotta@mininterior.gov.co" TargetMode="External"/><Relationship Id="rId47" Type="http://schemas.openxmlformats.org/officeDocument/2006/relationships/hyperlink" Target="mailto:edgar.gonzalez@mininterior.gov.co" TargetMode="External"/><Relationship Id="rId89" Type="http://schemas.openxmlformats.org/officeDocument/2006/relationships/hyperlink" Target="mailto:edgar.gonzalez@mininterior.gov.co" TargetMode="External"/><Relationship Id="rId112" Type="http://schemas.openxmlformats.org/officeDocument/2006/relationships/hyperlink" Target="mailto:edgar.gonzalez@mininterior.gov.co" TargetMode="External"/><Relationship Id="rId154" Type="http://schemas.openxmlformats.org/officeDocument/2006/relationships/hyperlink" Target="mailto:rodolfo.vega@mininterior.gov.co" TargetMode="External"/><Relationship Id="rId361" Type="http://schemas.openxmlformats.org/officeDocument/2006/relationships/hyperlink" Target="mailto:carlos.prada@mininterior.gov.co" TargetMode="External"/><Relationship Id="rId196" Type="http://schemas.openxmlformats.org/officeDocument/2006/relationships/hyperlink" Target="mailto:rodolfo.vega@mininterior.gov.co" TargetMode="External"/><Relationship Id="rId417" Type="http://schemas.openxmlformats.org/officeDocument/2006/relationships/hyperlink" Target="mailto:cesar.fandino@mininterior.gov.co" TargetMode="External"/><Relationship Id="rId16" Type="http://schemas.openxmlformats.org/officeDocument/2006/relationships/hyperlink" Target="mailto:yuly.manosalva@mininterior.gov.co" TargetMode="External"/><Relationship Id="rId221" Type="http://schemas.openxmlformats.org/officeDocument/2006/relationships/hyperlink" Target="mailto:amelia.cotes@mininterior.gov.co" TargetMode="External"/><Relationship Id="rId263" Type="http://schemas.openxmlformats.org/officeDocument/2006/relationships/hyperlink" Target="mailto:olga.salazar@mininterior.gov.co" TargetMode="External"/><Relationship Id="rId319" Type="http://schemas.openxmlformats.org/officeDocument/2006/relationships/hyperlink" Target="mailto:idalmy.minotta@mininterior.gov.co" TargetMode="External"/><Relationship Id="rId58" Type="http://schemas.openxmlformats.org/officeDocument/2006/relationships/hyperlink" Target="mailto:edgar.gonzalez@mininterior.gov.co" TargetMode="External"/><Relationship Id="rId123" Type="http://schemas.openxmlformats.org/officeDocument/2006/relationships/hyperlink" Target="mailto:edgar.gonzalez@mininterior.gov.co" TargetMode="External"/><Relationship Id="rId330" Type="http://schemas.openxmlformats.org/officeDocument/2006/relationships/hyperlink" Target="mailto:carlos.prada@mininterior.gov.co" TargetMode="External"/><Relationship Id="rId165" Type="http://schemas.openxmlformats.org/officeDocument/2006/relationships/hyperlink" Target="mailto:rodolfo.vega@mininterior.gov.co" TargetMode="External"/><Relationship Id="rId372" Type="http://schemas.openxmlformats.org/officeDocument/2006/relationships/hyperlink" Target="mailto:cesar.fandino@mininterior.gov.co" TargetMode="External"/><Relationship Id="rId428" Type="http://schemas.openxmlformats.org/officeDocument/2006/relationships/hyperlink" Target="mailto:cesar.fandino@mininterior.gov.co" TargetMode="External"/><Relationship Id="rId232" Type="http://schemas.openxmlformats.org/officeDocument/2006/relationships/hyperlink" Target="mailto:edgar.gonzalez@mininterior.gov.co" TargetMode="External"/><Relationship Id="rId274" Type="http://schemas.openxmlformats.org/officeDocument/2006/relationships/hyperlink" Target="mailto:franklin.castaneda@mininterior.gov.co" TargetMode="External"/><Relationship Id="rId27" Type="http://schemas.openxmlformats.org/officeDocument/2006/relationships/hyperlink" Target="mailto:edgar.gonzalez@mininterior.gov.co" TargetMode="External"/><Relationship Id="rId69" Type="http://schemas.openxmlformats.org/officeDocument/2006/relationships/hyperlink" Target="mailto:edgar.gonzalez@mininterior.gov.co" TargetMode="External"/><Relationship Id="rId134" Type="http://schemas.openxmlformats.org/officeDocument/2006/relationships/hyperlink" Target="mailto:edgar.gonzalez@mininterior.gov.co" TargetMode="External"/><Relationship Id="rId80" Type="http://schemas.openxmlformats.org/officeDocument/2006/relationships/hyperlink" Target="mailto:edgar.gonzalez@mininterior.gov.co" TargetMode="External"/><Relationship Id="rId176" Type="http://schemas.openxmlformats.org/officeDocument/2006/relationships/hyperlink" Target="mailto:rodolfo.vega@mininterior.gov.co" TargetMode="External"/><Relationship Id="rId341" Type="http://schemas.openxmlformats.org/officeDocument/2006/relationships/hyperlink" Target="mailto:carlos.cordobam@mininterior.gov.co" TargetMode="External"/><Relationship Id="rId383" Type="http://schemas.openxmlformats.org/officeDocument/2006/relationships/hyperlink" Target="mailto:cesar.fandino@mininterior.gov.co" TargetMode="External"/><Relationship Id="rId439" Type="http://schemas.openxmlformats.org/officeDocument/2006/relationships/hyperlink" Target="mailto:cesar.fandino@mininterior.gov.co" TargetMode="External"/><Relationship Id="rId201" Type="http://schemas.openxmlformats.org/officeDocument/2006/relationships/hyperlink" Target="mailto:rodolfo.vega@mininterior.gov.co" TargetMode="External"/><Relationship Id="rId243" Type="http://schemas.openxmlformats.org/officeDocument/2006/relationships/hyperlink" Target="mailto:eliecer.ortiz@mininterior.gov.co" TargetMode="External"/><Relationship Id="rId285" Type="http://schemas.openxmlformats.org/officeDocument/2006/relationships/hyperlink" Target="mailto:olga.salazar@mininterior.gov.co" TargetMode="External"/><Relationship Id="rId38" Type="http://schemas.openxmlformats.org/officeDocument/2006/relationships/hyperlink" Target="mailto:edgar.gonzalez@mininterior.gov.co" TargetMode="External"/><Relationship Id="rId103" Type="http://schemas.openxmlformats.org/officeDocument/2006/relationships/hyperlink" Target="mailto:edgar.gonzalez@mininterior.gov.co" TargetMode="External"/><Relationship Id="rId310" Type="http://schemas.openxmlformats.org/officeDocument/2006/relationships/hyperlink" Target="mailto:idalmy.minotta@mininterior.gov.co" TargetMode="External"/><Relationship Id="rId91" Type="http://schemas.openxmlformats.org/officeDocument/2006/relationships/hyperlink" Target="mailto:edgar.gonzalez@mininterior.gov.co" TargetMode="External"/><Relationship Id="rId145" Type="http://schemas.openxmlformats.org/officeDocument/2006/relationships/hyperlink" Target="mailto:william.cruz@mininterior.gov.co" TargetMode="External"/><Relationship Id="rId187" Type="http://schemas.openxmlformats.org/officeDocument/2006/relationships/hyperlink" Target="mailto:rodolfo.vega@mininterior.gov.co" TargetMode="External"/><Relationship Id="rId352" Type="http://schemas.openxmlformats.org/officeDocument/2006/relationships/hyperlink" Target="mailto:carlos.cordobam@mininterior.gov.co" TargetMode="External"/><Relationship Id="rId394" Type="http://schemas.openxmlformats.org/officeDocument/2006/relationships/hyperlink" Target="mailto:cesar.fandino@mininterior.gov.co" TargetMode="External"/><Relationship Id="rId408" Type="http://schemas.openxmlformats.org/officeDocument/2006/relationships/hyperlink" Target="mailto:cesar.fandino@mininterior.gov.co" TargetMode="External"/><Relationship Id="rId212" Type="http://schemas.openxmlformats.org/officeDocument/2006/relationships/hyperlink" Target="mailto:sandra.contreras@mininterior.gov.co" TargetMode="External"/><Relationship Id="rId254" Type="http://schemas.openxmlformats.org/officeDocument/2006/relationships/hyperlink" Target="mailto:edgar.gonzalez@mininterior.gov.co" TargetMode="External"/><Relationship Id="rId49" Type="http://schemas.openxmlformats.org/officeDocument/2006/relationships/hyperlink" Target="mailto:edgar.gonzalez@mininterior.gov.co" TargetMode="External"/><Relationship Id="rId114" Type="http://schemas.openxmlformats.org/officeDocument/2006/relationships/hyperlink" Target="mailto:edgar.gonzalez@mininterior.gov.co" TargetMode="External"/><Relationship Id="rId296" Type="http://schemas.openxmlformats.org/officeDocument/2006/relationships/hyperlink" Target="mailto:idalmy.minotta@mininterior.gov.co" TargetMode="External"/><Relationship Id="rId60" Type="http://schemas.openxmlformats.org/officeDocument/2006/relationships/hyperlink" Target="mailto:edgar.gonzalez@mininterior.gov.co" TargetMode="External"/><Relationship Id="rId156" Type="http://schemas.openxmlformats.org/officeDocument/2006/relationships/hyperlink" Target="mailto:rodolfo.vega@mininterior.gov.co" TargetMode="External"/><Relationship Id="rId198" Type="http://schemas.openxmlformats.org/officeDocument/2006/relationships/hyperlink" Target="mailto:rodolfo.vega@mininterior.gov.co" TargetMode="External"/><Relationship Id="rId321" Type="http://schemas.openxmlformats.org/officeDocument/2006/relationships/hyperlink" Target="mailto:idalmy.minotta@mininterior.gov.co" TargetMode="External"/><Relationship Id="rId363" Type="http://schemas.openxmlformats.org/officeDocument/2006/relationships/hyperlink" Target="mailto:cesar.fandino@mininterior.gov.co" TargetMode="External"/><Relationship Id="rId419" Type="http://schemas.openxmlformats.org/officeDocument/2006/relationships/hyperlink" Target="mailto:cesar.fandino@mininterior.gov.co" TargetMode="External"/><Relationship Id="rId223" Type="http://schemas.openxmlformats.org/officeDocument/2006/relationships/hyperlink" Target="mailto:william.cruz@mininterior.gov.co" TargetMode="External"/><Relationship Id="rId430" Type="http://schemas.openxmlformats.org/officeDocument/2006/relationships/hyperlink" Target="mailto:cesar.fandino@mininterior.gov.co" TargetMode="External"/><Relationship Id="rId18" Type="http://schemas.openxmlformats.org/officeDocument/2006/relationships/hyperlink" Target="mailto:yamel.ruiz@mininterior.gov.co" TargetMode="External"/><Relationship Id="rId39" Type="http://schemas.openxmlformats.org/officeDocument/2006/relationships/hyperlink" Target="mailto:edgar.gonzalez@mininterior.gov.co" TargetMode="External"/><Relationship Id="rId265" Type="http://schemas.openxmlformats.org/officeDocument/2006/relationships/hyperlink" Target="mailto:sandra.contreras@mininterior.gov.co" TargetMode="External"/><Relationship Id="rId286" Type="http://schemas.openxmlformats.org/officeDocument/2006/relationships/hyperlink" Target="mailto:olga.salazar@mininterior.gov.co" TargetMode="External"/><Relationship Id="rId50" Type="http://schemas.openxmlformats.org/officeDocument/2006/relationships/hyperlink" Target="mailto:edgar.gonzalez@mininterior.gov.co" TargetMode="External"/><Relationship Id="rId104" Type="http://schemas.openxmlformats.org/officeDocument/2006/relationships/hyperlink" Target="mailto:edgar.gonzalez@mininterior.gov.co" TargetMode="External"/><Relationship Id="rId125" Type="http://schemas.openxmlformats.org/officeDocument/2006/relationships/hyperlink" Target="mailto:edgar.gonzalez@mininterior.gov.co" TargetMode="External"/><Relationship Id="rId146" Type="http://schemas.openxmlformats.org/officeDocument/2006/relationships/hyperlink" Target="mailto:rodolfo.vega@mininterior.gov.co" TargetMode="External"/><Relationship Id="rId167" Type="http://schemas.openxmlformats.org/officeDocument/2006/relationships/hyperlink" Target="mailto:rodolfo.vega@mininterior.gov.co" TargetMode="External"/><Relationship Id="rId188" Type="http://schemas.openxmlformats.org/officeDocument/2006/relationships/hyperlink" Target="mailto:rodolfo.vega@mininterior.gov.co" TargetMode="External"/><Relationship Id="rId311" Type="http://schemas.openxmlformats.org/officeDocument/2006/relationships/hyperlink" Target="mailto:idalmy.minotta@mininterior.gov.co" TargetMode="External"/><Relationship Id="rId332" Type="http://schemas.openxmlformats.org/officeDocument/2006/relationships/hyperlink" Target="mailto:carlos.prada@mininterior.gov.co" TargetMode="External"/><Relationship Id="rId353" Type="http://schemas.openxmlformats.org/officeDocument/2006/relationships/hyperlink" Target="mailto:carlos.cordobam@mininterior.gov.co" TargetMode="External"/><Relationship Id="rId374" Type="http://schemas.openxmlformats.org/officeDocument/2006/relationships/hyperlink" Target="mailto:cesar.fandino@mininterior.gov.co" TargetMode="External"/><Relationship Id="rId395" Type="http://schemas.openxmlformats.org/officeDocument/2006/relationships/hyperlink" Target="mailto:cesar.fandino@mininterior.gov.co" TargetMode="External"/><Relationship Id="rId409" Type="http://schemas.openxmlformats.org/officeDocument/2006/relationships/hyperlink" Target="mailto:cesar.fandino@mininterior.gov.co" TargetMode="External"/><Relationship Id="rId71" Type="http://schemas.openxmlformats.org/officeDocument/2006/relationships/hyperlink" Target="mailto:edgar.gonzalez@mininterior.gov.co" TargetMode="External"/><Relationship Id="rId92" Type="http://schemas.openxmlformats.org/officeDocument/2006/relationships/hyperlink" Target="mailto:edgar.gonzalez@mininterior.gov.co" TargetMode="External"/><Relationship Id="rId213" Type="http://schemas.openxmlformats.org/officeDocument/2006/relationships/hyperlink" Target="mailto:edgar.gonzalez@mininterior.gov.co" TargetMode="External"/><Relationship Id="rId234" Type="http://schemas.openxmlformats.org/officeDocument/2006/relationships/hyperlink" Target="mailto:edgar.gonzalez@mininterior.gov.co" TargetMode="External"/><Relationship Id="rId420" Type="http://schemas.openxmlformats.org/officeDocument/2006/relationships/hyperlink" Target="mailto:cesar.fandino@mininterior.gov.co" TargetMode="External"/><Relationship Id="rId2" Type="http://schemas.openxmlformats.org/officeDocument/2006/relationships/hyperlink" Target="mailto:esperanza.moreno@mininterior.gov.co" TargetMode="External"/><Relationship Id="rId29" Type="http://schemas.openxmlformats.org/officeDocument/2006/relationships/hyperlink" Target="mailto:edgar.gonzalez@mininterior.gov.co" TargetMode="External"/><Relationship Id="rId255" Type="http://schemas.openxmlformats.org/officeDocument/2006/relationships/hyperlink" Target="mailto:edgar.gonzalez@mininterior.gov.co" TargetMode="External"/><Relationship Id="rId276" Type="http://schemas.openxmlformats.org/officeDocument/2006/relationships/hyperlink" Target="mailto:diana.vivas@mininterior.gov.co" TargetMode="External"/><Relationship Id="rId297" Type="http://schemas.openxmlformats.org/officeDocument/2006/relationships/hyperlink" Target="mailto:idalmy.minotta@mininterior.gov.co" TargetMode="External"/><Relationship Id="rId441" Type="http://schemas.openxmlformats.org/officeDocument/2006/relationships/hyperlink" Target="mailto:olga.salazar@mininterior.gov.co" TargetMode="External"/><Relationship Id="rId40" Type="http://schemas.openxmlformats.org/officeDocument/2006/relationships/hyperlink" Target="mailto:edgar.gonzalez@mininterior.gov.co" TargetMode="External"/><Relationship Id="rId115" Type="http://schemas.openxmlformats.org/officeDocument/2006/relationships/hyperlink" Target="mailto:edgar.gonzalez@mininterior.gov.co" TargetMode="External"/><Relationship Id="rId136" Type="http://schemas.openxmlformats.org/officeDocument/2006/relationships/hyperlink" Target="mailto:edgar.gonzalez@mininterior.gov.co" TargetMode="External"/><Relationship Id="rId157" Type="http://schemas.openxmlformats.org/officeDocument/2006/relationships/hyperlink" Target="mailto:rodolfo.vega@mininterior.gov.co" TargetMode="External"/><Relationship Id="rId178" Type="http://schemas.openxmlformats.org/officeDocument/2006/relationships/hyperlink" Target="mailto:rodolfo.vega@mininterior.gov.co" TargetMode="External"/><Relationship Id="rId301" Type="http://schemas.openxmlformats.org/officeDocument/2006/relationships/hyperlink" Target="mailto:idalmy.minotta@mininterior.gov.co" TargetMode="External"/><Relationship Id="rId322" Type="http://schemas.openxmlformats.org/officeDocument/2006/relationships/hyperlink" Target="mailto:idalmy.minotta@mininterior.gov.co" TargetMode="External"/><Relationship Id="rId343" Type="http://schemas.openxmlformats.org/officeDocument/2006/relationships/hyperlink" Target="mailto:carlos.cordobam@mininterior.gov.co" TargetMode="External"/><Relationship Id="rId364" Type="http://schemas.openxmlformats.org/officeDocument/2006/relationships/hyperlink" Target="mailto:cesar.fandino@mininterior.gov.co" TargetMode="External"/><Relationship Id="rId61" Type="http://schemas.openxmlformats.org/officeDocument/2006/relationships/hyperlink" Target="mailto:edgar.gonzalez@mininterior.gov.co" TargetMode="External"/><Relationship Id="rId82" Type="http://schemas.openxmlformats.org/officeDocument/2006/relationships/hyperlink" Target="mailto:edgar.gonzalez@mininterior.gov.co" TargetMode="External"/><Relationship Id="rId199" Type="http://schemas.openxmlformats.org/officeDocument/2006/relationships/hyperlink" Target="mailto:rodolfo.vega@mininterior.gov.co" TargetMode="External"/><Relationship Id="rId203" Type="http://schemas.openxmlformats.org/officeDocument/2006/relationships/hyperlink" Target="mailto:rodolfo.vega@mininterior.gov.co" TargetMode="External"/><Relationship Id="rId385" Type="http://schemas.openxmlformats.org/officeDocument/2006/relationships/hyperlink" Target="mailto:cesar.fandino@mininterior.gov.co" TargetMode="External"/><Relationship Id="rId19" Type="http://schemas.openxmlformats.org/officeDocument/2006/relationships/hyperlink" Target="mailto:edgar.gonzalez@mininterior.gov.co" TargetMode="External"/><Relationship Id="rId224" Type="http://schemas.openxmlformats.org/officeDocument/2006/relationships/hyperlink" Target="mailto:william.cruz@mininterior.gov.co" TargetMode="External"/><Relationship Id="rId245" Type="http://schemas.openxmlformats.org/officeDocument/2006/relationships/hyperlink" Target="mailto:edgar.gonzalez@mininterior.gov.co" TargetMode="External"/><Relationship Id="rId266" Type="http://schemas.openxmlformats.org/officeDocument/2006/relationships/hyperlink" Target="mailto:franklin.castaneda@mininterior.gov.co" TargetMode="External"/><Relationship Id="rId287" Type="http://schemas.openxmlformats.org/officeDocument/2006/relationships/hyperlink" Target="mailto:idalmy.minotta@mininterior.gov.co" TargetMode="External"/><Relationship Id="rId410" Type="http://schemas.openxmlformats.org/officeDocument/2006/relationships/hyperlink" Target="mailto:cesar.fandino@mininterior.gov.co" TargetMode="External"/><Relationship Id="rId431" Type="http://schemas.openxmlformats.org/officeDocument/2006/relationships/hyperlink" Target="mailto:cesar.fandino@mininterior.gov.co" TargetMode="External"/><Relationship Id="rId30" Type="http://schemas.openxmlformats.org/officeDocument/2006/relationships/hyperlink" Target="mailto:edgar.gonzalez@mininterior.gov.co" TargetMode="External"/><Relationship Id="rId105" Type="http://schemas.openxmlformats.org/officeDocument/2006/relationships/hyperlink" Target="mailto:edgar.gonzalez@mininterior.gov.co" TargetMode="External"/><Relationship Id="rId126" Type="http://schemas.openxmlformats.org/officeDocument/2006/relationships/hyperlink" Target="mailto:edgar.gonzalez@mininterior.gov.co" TargetMode="External"/><Relationship Id="rId147" Type="http://schemas.openxmlformats.org/officeDocument/2006/relationships/hyperlink" Target="mailto:rodolfo.vega@mininterior.gov.co" TargetMode="External"/><Relationship Id="rId168" Type="http://schemas.openxmlformats.org/officeDocument/2006/relationships/hyperlink" Target="mailto:rodolfo.vega@mininterior.gov.co" TargetMode="External"/><Relationship Id="rId312" Type="http://schemas.openxmlformats.org/officeDocument/2006/relationships/hyperlink" Target="mailto:idalmy.minotta@mininterior.gov.co" TargetMode="External"/><Relationship Id="rId333" Type="http://schemas.openxmlformats.org/officeDocument/2006/relationships/hyperlink" Target="mailto:ivonne.gonzalez@mininterior.gov.co" TargetMode="External"/><Relationship Id="rId354" Type="http://schemas.openxmlformats.org/officeDocument/2006/relationships/hyperlink" Target="mailto:carlos.cordobam@mininterior.gov.co" TargetMode="External"/><Relationship Id="rId51" Type="http://schemas.openxmlformats.org/officeDocument/2006/relationships/hyperlink" Target="mailto:edgar.gonzalez@mininterior.gov.co" TargetMode="External"/><Relationship Id="rId72" Type="http://schemas.openxmlformats.org/officeDocument/2006/relationships/hyperlink" Target="mailto:edgar.gonzalez@mininterior.gov.co" TargetMode="External"/><Relationship Id="rId93" Type="http://schemas.openxmlformats.org/officeDocument/2006/relationships/hyperlink" Target="mailto:edgar.gonzalez@mininterior.gov.co" TargetMode="External"/><Relationship Id="rId189" Type="http://schemas.openxmlformats.org/officeDocument/2006/relationships/hyperlink" Target="mailto:rodolfo.vega@mininterior.gov.co" TargetMode="External"/><Relationship Id="rId375" Type="http://schemas.openxmlformats.org/officeDocument/2006/relationships/hyperlink" Target="mailto:cesar.fandino@mininterior.gov.co" TargetMode="External"/><Relationship Id="rId396" Type="http://schemas.openxmlformats.org/officeDocument/2006/relationships/hyperlink" Target="mailto:cesar.fandino@mininterior.gov.co" TargetMode="External"/><Relationship Id="rId3" Type="http://schemas.openxmlformats.org/officeDocument/2006/relationships/hyperlink" Target="mailto:diana.vivas@mininterior.gov.co" TargetMode="External"/><Relationship Id="rId214" Type="http://schemas.openxmlformats.org/officeDocument/2006/relationships/hyperlink" Target="mailto:alvaro.echeverry@mininterior.gov.co" TargetMode="External"/><Relationship Id="rId235" Type="http://schemas.openxmlformats.org/officeDocument/2006/relationships/hyperlink" Target="mailto:edgar.gonzalez@mininterior.gov.co" TargetMode="External"/><Relationship Id="rId256" Type="http://schemas.openxmlformats.org/officeDocument/2006/relationships/hyperlink" Target="mailto:edgar.gonzalez@mininterior.gov.co" TargetMode="External"/><Relationship Id="rId277" Type="http://schemas.openxmlformats.org/officeDocument/2006/relationships/hyperlink" Target="mailto:diana.vivas@mininterior.gov.co" TargetMode="External"/><Relationship Id="rId298" Type="http://schemas.openxmlformats.org/officeDocument/2006/relationships/hyperlink" Target="mailto:idalmy.minotta@mininterior.gov.co" TargetMode="External"/><Relationship Id="rId400" Type="http://schemas.openxmlformats.org/officeDocument/2006/relationships/hyperlink" Target="mailto:cesar.fandino@mininterior.gov.co" TargetMode="External"/><Relationship Id="rId421" Type="http://schemas.openxmlformats.org/officeDocument/2006/relationships/hyperlink" Target="mailto:cesar.fandino@mininterior.gov.co" TargetMode="External"/><Relationship Id="rId442" Type="http://schemas.openxmlformats.org/officeDocument/2006/relationships/hyperlink" Target="mailto:olga.salazar@mininterior.gov.co" TargetMode="External"/><Relationship Id="rId116" Type="http://schemas.openxmlformats.org/officeDocument/2006/relationships/hyperlink" Target="mailto:edgar.gonzalez@mininterior.gov.co" TargetMode="External"/><Relationship Id="rId137" Type="http://schemas.openxmlformats.org/officeDocument/2006/relationships/hyperlink" Target="mailto:edgar.gonzalez@mininterior.gov.co" TargetMode="External"/><Relationship Id="rId158" Type="http://schemas.openxmlformats.org/officeDocument/2006/relationships/hyperlink" Target="mailto:rodolfo.vega@mininterior.gov.co" TargetMode="External"/><Relationship Id="rId302" Type="http://schemas.openxmlformats.org/officeDocument/2006/relationships/hyperlink" Target="mailto:idalmy.minotta@mininterior.gov.co" TargetMode="External"/><Relationship Id="rId323" Type="http://schemas.openxmlformats.org/officeDocument/2006/relationships/hyperlink" Target="mailto:idalmy.minotta@mininterior.gov.co" TargetMode="External"/><Relationship Id="rId344" Type="http://schemas.openxmlformats.org/officeDocument/2006/relationships/hyperlink" Target="mailto:carlos.cordobam@mininterior.gov.co" TargetMode="External"/><Relationship Id="rId20" Type="http://schemas.openxmlformats.org/officeDocument/2006/relationships/hyperlink" Target="mailto:edgar.gonzalez@mininterior.gov.co" TargetMode="External"/><Relationship Id="rId41" Type="http://schemas.openxmlformats.org/officeDocument/2006/relationships/hyperlink" Target="mailto:edgar.gonzalez@mininterior.gov.co" TargetMode="External"/><Relationship Id="rId62" Type="http://schemas.openxmlformats.org/officeDocument/2006/relationships/hyperlink" Target="mailto:edgar.gonzalez@mininterior.gov.co" TargetMode="External"/><Relationship Id="rId83" Type="http://schemas.openxmlformats.org/officeDocument/2006/relationships/hyperlink" Target="mailto:edgar.gonzalez@mininterior.gov.co" TargetMode="External"/><Relationship Id="rId179" Type="http://schemas.openxmlformats.org/officeDocument/2006/relationships/hyperlink" Target="mailto:rodolfo.vega@mininterior.gov.co" TargetMode="External"/><Relationship Id="rId365" Type="http://schemas.openxmlformats.org/officeDocument/2006/relationships/hyperlink" Target="mailto:cesar.fandino@mininterior.gov.co" TargetMode="External"/><Relationship Id="rId386" Type="http://schemas.openxmlformats.org/officeDocument/2006/relationships/hyperlink" Target="mailto:cesar.fandino@mininterior.gov.co" TargetMode="External"/><Relationship Id="rId190" Type="http://schemas.openxmlformats.org/officeDocument/2006/relationships/hyperlink" Target="mailto:rodolfo.vega@mininterior.gov.co" TargetMode="External"/><Relationship Id="rId204" Type="http://schemas.openxmlformats.org/officeDocument/2006/relationships/hyperlink" Target="mailto:rodolfo.vega@mininterior.gov.co" TargetMode="External"/><Relationship Id="rId225" Type="http://schemas.openxmlformats.org/officeDocument/2006/relationships/hyperlink" Target="mailto:hermes.perez@mininterior.gov.co" TargetMode="External"/><Relationship Id="rId246" Type="http://schemas.openxmlformats.org/officeDocument/2006/relationships/hyperlink" Target="mailto:edgar.gonzalez@mininterior.gov.co" TargetMode="External"/><Relationship Id="rId267" Type="http://schemas.openxmlformats.org/officeDocument/2006/relationships/hyperlink" Target="mailto:franklin.castaneda@mininterior.gov.co" TargetMode="External"/><Relationship Id="rId288" Type="http://schemas.openxmlformats.org/officeDocument/2006/relationships/hyperlink" Target="mailto:idalmy.minotta@mininterior.gov.co" TargetMode="External"/><Relationship Id="rId411" Type="http://schemas.openxmlformats.org/officeDocument/2006/relationships/hyperlink" Target="mailto:cesar.fandino@mininterior.gov.co" TargetMode="External"/><Relationship Id="rId432" Type="http://schemas.openxmlformats.org/officeDocument/2006/relationships/hyperlink" Target="mailto:cesar.fandino@mininterior.gov.co" TargetMode="External"/><Relationship Id="rId106" Type="http://schemas.openxmlformats.org/officeDocument/2006/relationships/hyperlink" Target="mailto:edgar.gonzalez@mininterior.gov.co" TargetMode="External"/><Relationship Id="rId127" Type="http://schemas.openxmlformats.org/officeDocument/2006/relationships/hyperlink" Target="mailto:edgar.gonzalez@mininterior.gov.co" TargetMode="External"/><Relationship Id="rId313" Type="http://schemas.openxmlformats.org/officeDocument/2006/relationships/hyperlink" Target="mailto:idalmy.minotta@mininterior.gov.co" TargetMode="External"/><Relationship Id="rId10" Type="http://schemas.openxmlformats.org/officeDocument/2006/relationships/hyperlink" Target="mailto:yuly.manosalva@mininterior.gov.co" TargetMode="External"/><Relationship Id="rId31" Type="http://schemas.openxmlformats.org/officeDocument/2006/relationships/hyperlink" Target="mailto:edgar.gonzalez@mininterior.gov.co" TargetMode="External"/><Relationship Id="rId52" Type="http://schemas.openxmlformats.org/officeDocument/2006/relationships/hyperlink" Target="mailto:edgar.gonzalez@mininterior.gov.co" TargetMode="External"/><Relationship Id="rId73" Type="http://schemas.openxmlformats.org/officeDocument/2006/relationships/hyperlink" Target="mailto:edgar.gonzalez@mininterior.gov.co" TargetMode="External"/><Relationship Id="rId94" Type="http://schemas.openxmlformats.org/officeDocument/2006/relationships/hyperlink" Target="mailto:edgar.gonzalez@mininterior.gov.co" TargetMode="External"/><Relationship Id="rId148" Type="http://schemas.openxmlformats.org/officeDocument/2006/relationships/hyperlink" Target="mailto:rodolfo.vega@mininterior.gov.co" TargetMode="External"/><Relationship Id="rId169" Type="http://schemas.openxmlformats.org/officeDocument/2006/relationships/hyperlink" Target="mailto:rodolfo.vega@mininterior.gov.co" TargetMode="External"/><Relationship Id="rId334" Type="http://schemas.openxmlformats.org/officeDocument/2006/relationships/hyperlink" Target="mailto:ivonne.gonzalez@mininterior.gov.co" TargetMode="External"/><Relationship Id="rId355" Type="http://schemas.openxmlformats.org/officeDocument/2006/relationships/hyperlink" Target="mailto:carlos.cordobam@mininterior.gov.co" TargetMode="External"/><Relationship Id="rId376" Type="http://schemas.openxmlformats.org/officeDocument/2006/relationships/hyperlink" Target="mailto:cesar.fandino@mininterior.gov.co" TargetMode="External"/><Relationship Id="rId397" Type="http://schemas.openxmlformats.org/officeDocument/2006/relationships/hyperlink" Target="mailto:cesar.fandino@mininterior.gov.co" TargetMode="External"/><Relationship Id="rId4" Type="http://schemas.openxmlformats.org/officeDocument/2006/relationships/hyperlink" Target="mailto:jarmandoserrano@mininterior.gov.co" TargetMode="External"/><Relationship Id="rId180" Type="http://schemas.openxmlformats.org/officeDocument/2006/relationships/hyperlink" Target="mailto:rodolfo.vega@mininterior.gov.co" TargetMode="External"/><Relationship Id="rId215" Type="http://schemas.openxmlformats.org/officeDocument/2006/relationships/hyperlink" Target="mailto:esperanza.moreno@mininterior.gov.co" TargetMode="External"/><Relationship Id="rId236" Type="http://schemas.openxmlformats.org/officeDocument/2006/relationships/hyperlink" Target="mailto:john.sabogal@mininterior.gov.co" TargetMode="External"/><Relationship Id="rId257" Type="http://schemas.openxmlformats.org/officeDocument/2006/relationships/hyperlink" Target="mailto:edgar.gonzalez@mininterior.gov.co" TargetMode="External"/><Relationship Id="rId278" Type="http://schemas.openxmlformats.org/officeDocument/2006/relationships/hyperlink" Target="mailto:diana.vivas@mininterior.gov.co" TargetMode="External"/><Relationship Id="rId401" Type="http://schemas.openxmlformats.org/officeDocument/2006/relationships/hyperlink" Target="mailto:cesar.fandino@mininterior.gov.co" TargetMode="External"/><Relationship Id="rId422" Type="http://schemas.openxmlformats.org/officeDocument/2006/relationships/hyperlink" Target="mailto:cesar.fandino@mininterior.gov.co" TargetMode="External"/><Relationship Id="rId443" Type="http://schemas.openxmlformats.org/officeDocument/2006/relationships/hyperlink" Target="mailto:olga.salazar@mininterior.gov.co" TargetMode="External"/><Relationship Id="rId303" Type="http://schemas.openxmlformats.org/officeDocument/2006/relationships/hyperlink" Target="mailto:idalmy.minotta@mininterior.gov.co" TargetMode="External"/><Relationship Id="rId42" Type="http://schemas.openxmlformats.org/officeDocument/2006/relationships/hyperlink" Target="mailto:edgar.gonzalez@mininterior.gov.co" TargetMode="External"/><Relationship Id="rId84" Type="http://schemas.openxmlformats.org/officeDocument/2006/relationships/hyperlink" Target="mailto:edgar.gonzalez@mininterior.gov.co" TargetMode="External"/><Relationship Id="rId138" Type="http://schemas.openxmlformats.org/officeDocument/2006/relationships/hyperlink" Target="mailto:edgar.gonzalez@mininterior.gov.co" TargetMode="External"/><Relationship Id="rId345" Type="http://schemas.openxmlformats.org/officeDocument/2006/relationships/hyperlink" Target="mailto:carlos.cordobam@mininterior.gov.co" TargetMode="External"/><Relationship Id="rId387" Type="http://schemas.openxmlformats.org/officeDocument/2006/relationships/hyperlink" Target="mailto:cesar.fandino@mininterior.gov.co" TargetMode="External"/><Relationship Id="rId191" Type="http://schemas.openxmlformats.org/officeDocument/2006/relationships/hyperlink" Target="mailto:rodolfo.vega@mininterior.gov.co" TargetMode="External"/><Relationship Id="rId205" Type="http://schemas.openxmlformats.org/officeDocument/2006/relationships/hyperlink" Target="mailto:rodolfo.vega@mininterior.gov.co" TargetMode="External"/><Relationship Id="rId247" Type="http://schemas.openxmlformats.org/officeDocument/2006/relationships/hyperlink" Target="mailto:edgar.gonzalez@mininterior.gov.co" TargetMode="External"/><Relationship Id="rId412" Type="http://schemas.openxmlformats.org/officeDocument/2006/relationships/hyperlink" Target="mailto:cesar.fandino@mininterior.gov.co" TargetMode="External"/><Relationship Id="rId107" Type="http://schemas.openxmlformats.org/officeDocument/2006/relationships/hyperlink" Target="mailto:edgar.gonzalez@mininterior.gov.co" TargetMode="External"/><Relationship Id="rId289" Type="http://schemas.openxmlformats.org/officeDocument/2006/relationships/hyperlink" Target="mailto:idalmy.minotta@mininterior.gov.co" TargetMode="External"/><Relationship Id="rId11" Type="http://schemas.openxmlformats.org/officeDocument/2006/relationships/hyperlink" Target="mailto:yuly.manosalva@mininterior.gov.co" TargetMode="External"/><Relationship Id="rId53" Type="http://schemas.openxmlformats.org/officeDocument/2006/relationships/hyperlink" Target="mailto:edgar.gonzalez@mininterior.gov.co" TargetMode="External"/><Relationship Id="rId149" Type="http://schemas.openxmlformats.org/officeDocument/2006/relationships/hyperlink" Target="mailto:rodolfo.vega@mininterior.gov.co" TargetMode="External"/><Relationship Id="rId314" Type="http://schemas.openxmlformats.org/officeDocument/2006/relationships/hyperlink" Target="mailto:idalmy.minotta@mininterior.gov.co" TargetMode="External"/><Relationship Id="rId356" Type="http://schemas.openxmlformats.org/officeDocument/2006/relationships/hyperlink" Target="mailto:carlos.cordobam@mininterior.gov.co" TargetMode="External"/><Relationship Id="rId398" Type="http://schemas.openxmlformats.org/officeDocument/2006/relationships/hyperlink" Target="mailto:cesar.fandino@mininterior.gov.co" TargetMode="External"/><Relationship Id="rId95" Type="http://schemas.openxmlformats.org/officeDocument/2006/relationships/hyperlink" Target="mailto:edgar.gonzalez@mininterior.gov.co" TargetMode="External"/><Relationship Id="rId160" Type="http://schemas.openxmlformats.org/officeDocument/2006/relationships/hyperlink" Target="mailto:rodolfo.vega@mininterior.gov.co" TargetMode="External"/><Relationship Id="rId216" Type="http://schemas.openxmlformats.org/officeDocument/2006/relationships/hyperlink" Target="mailto:alvaro.echeverry@mininterior.gov.co" TargetMode="External"/><Relationship Id="rId423" Type="http://schemas.openxmlformats.org/officeDocument/2006/relationships/hyperlink" Target="mailto:cesar.fandino@mininterior.gov.co" TargetMode="External"/><Relationship Id="rId258" Type="http://schemas.openxmlformats.org/officeDocument/2006/relationships/hyperlink" Target="mailto:edgar.gonzalez@mininterior.gov.co" TargetMode="External"/><Relationship Id="rId22" Type="http://schemas.openxmlformats.org/officeDocument/2006/relationships/hyperlink" Target="mailto:edgar.gonzalez@mininterior.gov.co" TargetMode="External"/><Relationship Id="rId64" Type="http://schemas.openxmlformats.org/officeDocument/2006/relationships/hyperlink" Target="mailto:edgar.gonzalez@mininterior.gov.co" TargetMode="External"/><Relationship Id="rId118" Type="http://schemas.openxmlformats.org/officeDocument/2006/relationships/hyperlink" Target="mailto:edgar.gonzalez@mininterior.gov.co" TargetMode="External"/><Relationship Id="rId325" Type="http://schemas.openxmlformats.org/officeDocument/2006/relationships/hyperlink" Target="mailto:jarmandoserrano@mininterior.gov.co" TargetMode="External"/><Relationship Id="rId367" Type="http://schemas.openxmlformats.org/officeDocument/2006/relationships/hyperlink" Target="mailto:cesar.fandino@mininterior.gov.co" TargetMode="External"/><Relationship Id="rId171" Type="http://schemas.openxmlformats.org/officeDocument/2006/relationships/hyperlink" Target="mailto:rodolfo.vega@mininterior.gov.co" TargetMode="External"/><Relationship Id="rId227" Type="http://schemas.openxmlformats.org/officeDocument/2006/relationships/hyperlink" Target="mailto:hermes.perez@mininterior.gov.co" TargetMode="External"/><Relationship Id="rId269" Type="http://schemas.openxmlformats.org/officeDocument/2006/relationships/hyperlink" Target="mailto:franklin.castaneda@mininterior.gov.co" TargetMode="External"/><Relationship Id="rId434" Type="http://schemas.openxmlformats.org/officeDocument/2006/relationships/hyperlink" Target="mailto:cesar.fandino@mininterior.gov.co" TargetMode="External"/><Relationship Id="rId33" Type="http://schemas.openxmlformats.org/officeDocument/2006/relationships/hyperlink" Target="mailto:edgar.gonzalez@mininterior.gov.co" TargetMode="External"/><Relationship Id="rId129" Type="http://schemas.openxmlformats.org/officeDocument/2006/relationships/hyperlink" Target="mailto:edgar.gonzalez@mininterior.gov.co" TargetMode="External"/><Relationship Id="rId280" Type="http://schemas.openxmlformats.org/officeDocument/2006/relationships/hyperlink" Target="mailto:diana.vivas@mininterior.gov.co" TargetMode="External"/><Relationship Id="rId336" Type="http://schemas.openxmlformats.org/officeDocument/2006/relationships/hyperlink" Target="mailto:carlos.cordobam@mininterior.gov.co" TargetMode="External"/><Relationship Id="rId75" Type="http://schemas.openxmlformats.org/officeDocument/2006/relationships/hyperlink" Target="mailto:edgar.gonzalez@mininterior.gov.co" TargetMode="External"/><Relationship Id="rId140" Type="http://schemas.openxmlformats.org/officeDocument/2006/relationships/hyperlink" Target="mailto:esperanza.moreno@mininterior.gov.co" TargetMode="External"/><Relationship Id="rId182" Type="http://schemas.openxmlformats.org/officeDocument/2006/relationships/hyperlink" Target="mailto:rodolfo.vega@mininterior.gov.co" TargetMode="External"/><Relationship Id="rId378" Type="http://schemas.openxmlformats.org/officeDocument/2006/relationships/hyperlink" Target="mailto:cesar.fandino@mininterior.gov.co" TargetMode="External"/><Relationship Id="rId403" Type="http://schemas.openxmlformats.org/officeDocument/2006/relationships/hyperlink" Target="mailto:cesar.fandino@mininterior.gov.co" TargetMode="External"/><Relationship Id="rId6" Type="http://schemas.openxmlformats.org/officeDocument/2006/relationships/hyperlink" Target="mailto:yuly.manosalva@mininterior.gov.co" TargetMode="External"/><Relationship Id="rId238" Type="http://schemas.openxmlformats.org/officeDocument/2006/relationships/hyperlink" Target="mailto:hermes.perez@mininterior.gov.co" TargetMode="External"/><Relationship Id="rId445" Type="http://schemas.openxmlformats.org/officeDocument/2006/relationships/hyperlink" Target="mailto:diego.karachas@mininterior.gov.co" TargetMode="External"/><Relationship Id="rId291" Type="http://schemas.openxmlformats.org/officeDocument/2006/relationships/hyperlink" Target="mailto:idalmy.minotta@mininterior.gov.co" TargetMode="External"/><Relationship Id="rId305" Type="http://schemas.openxmlformats.org/officeDocument/2006/relationships/hyperlink" Target="mailto:idalmy.minotta@mininterior.gov.co" TargetMode="External"/><Relationship Id="rId347" Type="http://schemas.openxmlformats.org/officeDocument/2006/relationships/hyperlink" Target="mailto:carlos.cordobam@mininterior.gov.co" TargetMode="External"/><Relationship Id="rId44" Type="http://schemas.openxmlformats.org/officeDocument/2006/relationships/hyperlink" Target="mailto:edgar.gonzalez@mininterior.gov.co" TargetMode="External"/><Relationship Id="rId86" Type="http://schemas.openxmlformats.org/officeDocument/2006/relationships/hyperlink" Target="mailto:edgar.gonzalez@mininterior.gov.co" TargetMode="External"/><Relationship Id="rId151" Type="http://schemas.openxmlformats.org/officeDocument/2006/relationships/hyperlink" Target="mailto:rodolfo.vega@mininterior.gov.co" TargetMode="External"/><Relationship Id="rId389" Type="http://schemas.openxmlformats.org/officeDocument/2006/relationships/hyperlink" Target="mailto:esperanza.moreno@mininterior.gov.co" TargetMode="External"/><Relationship Id="rId193" Type="http://schemas.openxmlformats.org/officeDocument/2006/relationships/hyperlink" Target="mailto:rodolfo.vega@mininterior.gov.co" TargetMode="External"/><Relationship Id="rId207" Type="http://schemas.openxmlformats.org/officeDocument/2006/relationships/hyperlink" Target="mailto:yuly.manosalva@mininterior.gov.co" TargetMode="External"/><Relationship Id="rId249" Type="http://schemas.openxmlformats.org/officeDocument/2006/relationships/hyperlink" Target="mailto:edgar.gonzalez@mininterior.gov.co" TargetMode="External"/><Relationship Id="rId414" Type="http://schemas.openxmlformats.org/officeDocument/2006/relationships/hyperlink" Target="mailto:cesar.fandino@mininterior.gov.co" TargetMode="External"/><Relationship Id="rId13" Type="http://schemas.openxmlformats.org/officeDocument/2006/relationships/hyperlink" Target="mailto:yuly.manosalva@mininterior.gov.co" TargetMode="External"/><Relationship Id="rId109" Type="http://schemas.openxmlformats.org/officeDocument/2006/relationships/hyperlink" Target="mailto:edgar.gonzalez@mininterior.gov.co" TargetMode="External"/><Relationship Id="rId260" Type="http://schemas.openxmlformats.org/officeDocument/2006/relationships/hyperlink" Target="mailto:eliecer.ortiz@mininterior.gov.co" TargetMode="External"/><Relationship Id="rId316" Type="http://schemas.openxmlformats.org/officeDocument/2006/relationships/hyperlink" Target="mailto:idalmy.minotta@mininterior.gov.co" TargetMode="External"/><Relationship Id="rId55" Type="http://schemas.openxmlformats.org/officeDocument/2006/relationships/hyperlink" Target="mailto:edgar.gonzalez@mininterior.gov.co" TargetMode="External"/><Relationship Id="rId97" Type="http://schemas.openxmlformats.org/officeDocument/2006/relationships/hyperlink" Target="mailto:edgar.gonzalez@mininterior.gov.co" TargetMode="External"/><Relationship Id="rId120" Type="http://schemas.openxmlformats.org/officeDocument/2006/relationships/hyperlink" Target="mailto:edgar.gonzalez@mininterior.gov.co" TargetMode="External"/><Relationship Id="rId358" Type="http://schemas.openxmlformats.org/officeDocument/2006/relationships/hyperlink" Target="mailto:carlos.cordobam@mininterior.gov.co" TargetMode="External"/><Relationship Id="rId162" Type="http://schemas.openxmlformats.org/officeDocument/2006/relationships/hyperlink" Target="mailto:rodolfo.vega@mininterior.gov.co" TargetMode="External"/><Relationship Id="rId218" Type="http://schemas.openxmlformats.org/officeDocument/2006/relationships/hyperlink" Target="mailto:rodolfo.vega@mininterior.gov.co" TargetMode="External"/><Relationship Id="rId425" Type="http://schemas.openxmlformats.org/officeDocument/2006/relationships/hyperlink" Target="mailto:cesar.fandino@mininterior.gov.co" TargetMode="External"/><Relationship Id="rId271" Type="http://schemas.openxmlformats.org/officeDocument/2006/relationships/hyperlink" Target="mailto:franklin.castaneda@mininterior.gov.co" TargetMode="External"/><Relationship Id="rId24" Type="http://schemas.openxmlformats.org/officeDocument/2006/relationships/hyperlink" Target="mailto:edgar.gonzalez@mininterior.gov.co" TargetMode="External"/><Relationship Id="rId66" Type="http://schemas.openxmlformats.org/officeDocument/2006/relationships/hyperlink" Target="mailto:edgar.gonzalez@mininterior.gov.co" TargetMode="External"/><Relationship Id="rId131" Type="http://schemas.openxmlformats.org/officeDocument/2006/relationships/hyperlink" Target="mailto:edgar.gonzalez@mininterior.gov.co" TargetMode="External"/><Relationship Id="rId327" Type="http://schemas.openxmlformats.org/officeDocument/2006/relationships/hyperlink" Target="mailto:carlos.prada@mininterior.gov.co" TargetMode="External"/><Relationship Id="rId369" Type="http://schemas.openxmlformats.org/officeDocument/2006/relationships/hyperlink" Target="mailto:cesar.fandino@mininterior.gov.co" TargetMode="External"/><Relationship Id="rId173" Type="http://schemas.openxmlformats.org/officeDocument/2006/relationships/hyperlink" Target="mailto:rodolfo.vega@mininterior.gov.co" TargetMode="External"/><Relationship Id="rId229" Type="http://schemas.openxmlformats.org/officeDocument/2006/relationships/hyperlink" Target="mailto:hermes.perez@mininterior.gov.co" TargetMode="External"/><Relationship Id="rId380" Type="http://schemas.openxmlformats.org/officeDocument/2006/relationships/hyperlink" Target="mailto:cesar.fandino@mininterior.gov.co" TargetMode="External"/><Relationship Id="rId436" Type="http://schemas.openxmlformats.org/officeDocument/2006/relationships/hyperlink" Target="mailto:cesar.fandino@mininterior.gov.co" TargetMode="External"/><Relationship Id="rId240" Type="http://schemas.openxmlformats.org/officeDocument/2006/relationships/hyperlink" Target="mailto:edgar.gonzalez@mininterior.gov.co" TargetMode="External"/><Relationship Id="rId35" Type="http://schemas.openxmlformats.org/officeDocument/2006/relationships/hyperlink" Target="mailto:edgar.gonzalez@mininterior.gov.co" TargetMode="External"/><Relationship Id="rId77" Type="http://schemas.openxmlformats.org/officeDocument/2006/relationships/hyperlink" Target="mailto:edgar.gonzalez@mininterior.gov.co" TargetMode="External"/><Relationship Id="rId100" Type="http://schemas.openxmlformats.org/officeDocument/2006/relationships/hyperlink" Target="mailto:edgar.gonzalez@mininterior.gov.co" TargetMode="External"/><Relationship Id="rId282" Type="http://schemas.openxmlformats.org/officeDocument/2006/relationships/hyperlink" Target="mailto:diana.vivas@mininterior.gov.co" TargetMode="External"/><Relationship Id="rId338" Type="http://schemas.openxmlformats.org/officeDocument/2006/relationships/hyperlink" Target="mailto:carlos.cordobam@mininterior.gov.co" TargetMode="External"/><Relationship Id="rId8" Type="http://schemas.openxmlformats.org/officeDocument/2006/relationships/hyperlink" Target="mailto:yuly.manosalva@mininterior.gov.co" TargetMode="External"/><Relationship Id="rId142" Type="http://schemas.openxmlformats.org/officeDocument/2006/relationships/hyperlink" Target="mailto:esperanza.moreno@mininterior.gov.co" TargetMode="External"/><Relationship Id="rId184" Type="http://schemas.openxmlformats.org/officeDocument/2006/relationships/hyperlink" Target="mailto:rodolfo.vega@mininterior.gov.co" TargetMode="External"/><Relationship Id="rId391" Type="http://schemas.openxmlformats.org/officeDocument/2006/relationships/hyperlink" Target="mailto:esperanza.moreno@mininterior.gov.co" TargetMode="External"/><Relationship Id="rId405" Type="http://schemas.openxmlformats.org/officeDocument/2006/relationships/hyperlink" Target="mailto:cesar.fandino@mininterior.gov.co" TargetMode="External"/><Relationship Id="rId447" Type="http://schemas.openxmlformats.org/officeDocument/2006/relationships/drawing" Target="../drawings/drawing2.xml"/><Relationship Id="rId251" Type="http://schemas.openxmlformats.org/officeDocument/2006/relationships/hyperlink" Target="mailto:edgar.gonzalez@mininterior.gov.co" TargetMode="External"/><Relationship Id="rId46" Type="http://schemas.openxmlformats.org/officeDocument/2006/relationships/hyperlink" Target="mailto:edgar.gonzalez@mininterior.gov.co" TargetMode="External"/><Relationship Id="rId293" Type="http://schemas.openxmlformats.org/officeDocument/2006/relationships/hyperlink" Target="mailto:idalmy.minotta@mininterior.gov.co" TargetMode="External"/><Relationship Id="rId307" Type="http://schemas.openxmlformats.org/officeDocument/2006/relationships/hyperlink" Target="mailto:idalmy.minotta@mininterior.gov.co" TargetMode="External"/><Relationship Id="rId349" Type="http://schemas.openxmlformats.org/officeDocument/2006/relationships/hyperlink" Target="mailto:carlos.cordobam@mininterior.gov.co" TargetMode="External"/><Relationship Id="rId88" Type="http://schemas.openxmlformats.org/officeDocument/2006/relationships/hyperlink" Target="mailto:edgar.gonzalez@mininterior.gov.co" TargetMode="External"/><Relationship Id="rId111" Type="http://schemas.openxmlformats.org/officeDocument/2006/relationships/hyperlink" Target="mailto:edgar.gonzalez@mininterior.gov.co" TargetMode="External"/><Relationship Id="rId153" Type="http://schemas.openxmlformats.org/officeDocument/2006/relationships/hyperlink" Target="mailto:rodolfo.vega@mininterior.gov.co" TargetMode="External"/><Relationship Id="rId195" Type="http://schemas.openxmlformats.org/officeDocument/2006/relationships/hyperlink" Target="mailto:rodolfo.vega@mininterior.gov.co" TargetMode="External"/><Relationship Id="rId209" Type="http://schemas.openxmlformats.org/officeDocument/2006/relationships/hyperlink" Target="mailto:edgar.gonzalez@mininterior.gov.co" TargetMode="External"/><Relationship Id="rId360" Type="http://schemas.openxmlformats.org/officeDocument/2006/relationships/hyperlink" Target="mailto:eliecer.ortiz@mininterior.gov.co" TargetMode="External"/><Relationship Id="rId416" Type="http://schemas.openxmlformats.org/officeDocument/2006/relationships/hyperlink" Target="mailto:cesar.fandino@mininterior.gov.co" TargetMode="External"/><Relationship Id="rId220" Type="http://schemas.openxmlformats.org/officeDocument/2006/relationships/hyperlink" Target="mailto:diana.vivas@mininterior.gov.co" TargetMode="External"/><Relationship Id="rId15" Type="http://schemas.openxmlformats.org/officeDocument/2006/relationships/hyperlink" Target="mailto:yuly.manosalva@mininterior.gov.co" TargetMode="External"/><Relationship Id="rId57" Type="http://schemas.openxmlformats.org/officeDocument/2006/relationships/hyperlink" Target="mailto:edgar.gonzalez@mininterior.gov.co" TargetMode="External"/><Relationship Id="rId262" Type="http://schemas.openxmlformats.org/officeDocument/2006/relationships/hyperlink" Target="mailto:edgar.gonzalez@mininterior.gov.co" TargetMode="External"/><Relationship Id="rId318" Type="http://schemas.openxmlformats.org/officeDocument/2006/relationships/hyperlink" Target="mailto:idalmy.minotta@mininterior.gov.co" TargetMode="External"/><Relationship Id="rId99" Type="http://schemas.openxmlformats.org/officeDocument/2006/relationships/hyperlink" Target="mailto:edgar.gonzalez@mininterior.gov.co" TargetMode="External"/><Relationship Id="rId122" Type="http://schemas.openxmlformats.org/officeDocument/2006/relationships/hyperlink" Target="mailto:edgar.gonzalez@mininterior.gov.co" TargetMode="External"/><Relationship Id="rId164" Type="http://schemas.openxmlformats.org/officeDocument/2006/relationships/hyperlink" Target="mailto:rodolfo.vega@mininterior.gov.co" TargetMode="External"/><Relationship Id="rId371" Type="http://schemas.openxmlformats.org/officeDocument/2006/relationships/hyperlink" Target="mailto:cesar.fandino@mininterior.gov.co" TargetMode="External"/><Relationship Id="rId427" Type="http://schemas.openxmlformats.org/officeDocument/2006/relationships/hyperlink" Target="mailto:cesar.fandino@mininterior.gov.co" TargetMode="External"/><Relationship Id="rId26" Type="http://schemas.openxmlformats.org/officeDocument/2006/relationships/hyperlink" Target="mailto:edgar.gonzalez@mininterior.gov.co" TargetMode="External"/><Relationship Id="rId231" Type="http://schemas.openxmlformats.org/officeDocument/2006/relationships/hyperlink" Target="mailto:edgar.gonzalez@mininterior.gov.co" TargetMode="External"/><Relationship Id="rId273" Type="http://schemas.openxmlformats.org/officeDocument/2006/relationships/hyperlink" Target="mailto:franklin.castaneda@mininterior.gov.co" TargetMode="External"/><Relationship Id="rId329" Type="http://schemas.openxmlformats.org/officeDocument/2006/relationships/hyperlink" Target="mailto:carlos.prada@mininterior.gov.co" TargetMode="External"/><Relationship Id="rId68" Type="http://schemas.openxmlformats.org/officeDocument/2006/relationships/hyperlink" Target="mailto:edgar.gonzalez@mininterior.gov.co" TargetMode="External"/><Relationship Id="rId133" Type="http://schemas.openxmlformats.org/officeDocument/2006/relationships/hyperlink" Target="mailto:edgar.gonzalez@mininterior.gov.co" TargetMode="External"/><Relationship Id="rId175" Type="http://schemas.openxmlformats.org/officeDocument/2006/relationships/hyperlink" Target="mailto:rodolfo.vega@mininterior.gov.co" TargetMode="External"/><Relationship Id="rId340" Type="http://schemas.openxmlformats.org/officeDocument/2006/relationships/hyperlink" Target="mailto:carlos.cordobam@mininterior.gov.co" TargetMode="External"/><Relationship Id="rId200" Type="http://schemas.openxmlformats.org/officeDocument/2006/relationships/hyperlink" Target="mailto:rodolfo.vega@mininterior.gov.co" TargetMode="External"/><Relationship Id="rId382" Type="http://schemas.openxmlformats.org/officeDocument/2006/relationships/hyperlink" Target="mailto:cesar.fandino@mininterior.gov.co" TargetMode="External"/><Relationship Id="rId438" Type="http://schemas.openxmlformats.org/officeDocument/2006/relationships/hyperlink" Target="mailto:cesar.fandino@mininterior.gov.co" TargetMode="External"/><Relationship Id="rId242" Type="http://schemas.openxmlformats.org/officeDocument/2006/relationships/hyperlink" Target="mailto:eliecer.ortiz@mininterior.gov.co" TargetMode="External"/><Relationship Id="rId284" Type="http://schemas.openxmlformats.org/officeDocument/2006/relationships/hyperlink" Target="mailto:franklin.castaneda@mininterior.gov.co" TargetMode="External"/><Relationship Id="rId37" Type="http://schemas.openxmlformats.org/officeDocument/2006/relationships/hyperlink" Target="mailto:edgar.gonzalez@mininterior.gov.co" TargetMode="External"/><Relationship Id="rId79" Type="http://schemas.openxmlformats.org/officeDocument/2006/relationships/hyperlink" Target="mailto:edgar.gonzalez@mininterior.gov.co" TargetMode="External"/><Relationship Id="rId102" Type="http://schemas.openxmlformats.org/officeDocument/2006/relationships/hyperlink" Target="mailto:edgar.gonzalez@mininterior.gov.co" TargetMode="External"/><Relationship Id="rId144" Type="http://schemas.openxmlformats.org/officeDocument/2006/relationships/hyperlink" Target="mailto:esperanza.moreno@mininterior.gov.co" TargetMode="External"/><Relationship Id="rId90" Type="http://schemas.openxmlformats.org/officeDocument/2006/relationships/hyperlink" Target="mailto:edgar.gonzalez@mininterior.gov.co" TargetMode="External"/><Relationship Id="rId186" Type="http://schemas.openxmlformats.org/officeDocument/2006/relationships/hyperlink" Target="mailto:rodolfo.vega@mininterior.gov.co" TargetMode="External"/><Relationship Id="rId351" Type="http://schemas.openxmlformats.org/officeDocument/2006/relationships/hyperlink" Target="mailto:carlos.cordobam@mininterior.gov.co" TargetMode="External"/><Relationship Id="rId393" Type="http://schemas.openxmlformats.org/officeDocument/2006/relationships/hyperlink" Target="mailto:cesar.fandino@mininterior.gov.co" TargetMode="External"/><Relationship Id="rId407" Type="http://schemas.openxmlformats.org/officeDocument/2006/relationships/hyperlink" Target="mailto:cesar.fandino@mininterior.gov.co" TargetMode="External"/><Relationship Id="rId211" Type="http://schemas.openxmlformats.org/officeDocument/2006/relationships/hyperlink" Target="mailto:diana.vivas@mininterior.gov.co" TargetMode="External"/><Relationship Id="rId253" Type="http://schemas.openxmlformats.org/officeDocument/2006/relationships/hyperlink" Target="mailto:edgar.gonzalez@mininterior.gov.co" TargetMode="External"/><Relationship Id="rId295" Type="http://schemas.openxmlformats.org/officeDocument/2006/relationships/hyperlink" Target="mailto:idalmy.minotta@mininterior.gov.co" TargetMode="External"/><Relationship Id="rId309" Type="http://schemas.openxmlformats.org/officeDocument/2006/relationships/hyperlink" Target="mailto:idalmy.minotta@mininterior.gov.co" TargetMode="External"/><Relationship Id="rId48" Type="http://schemas.openxmlformats.org/officeDocument/2006/relationships/hyperlink" Target="mailto:edgar.gonzalez@mininterior.gov.co" TargetMode="External"/><Relationship Id="rId113" Type="http://schemas.openxmlformats.org/officeDocument/2006/relationships/hyperlink" Target="mailto:edgar.gonzalez@mininterior.gov.co" TargetMode="External"/><Relationship Id="rId320" Type="http://schemas.openxmlformats.org/officeDocument/2006/relationships/hyperlink" Target="mailto:idalmy.minotta@mininterior.gov.co" TargetMode="External"/><Relationship Id="rId155" Type="http://schemas.openxmlformats.org/officeDocument/2006/relationships/hyperlink" Target="mailto:rodolfo.vega@mininterior.gov.co" TargetMode="External"/><Relationship Id="rId197" Type="http://schemas.openxmlformats.org/officeDocument/2006/relationships/hyperlink" Target="mailto:rodolfo.vega@mininterior.gov.co" TargetMode="External"/><Relationship Id="rId362" Type="http://schemas.openxmlformats.org/officeDocument/2006/relationships/hyperlink" Target="mailto:gabriel.rondon@miniterior.gov.co" TargetMode="External"/><Relationship Id="rId418" Type="http://schemas.openxmlformats.org/officeDocument/2006/relationships/hyperlink" Target="mailto:cesar.fandino@mininterior.gov.co" TargetMode="External"/><Relationship Id="rId222" Type="http://schemas.openxmlformats.org/officeDocument/2006/relationships/hyperlink" Target="mailto:william.cruz@mininterior.gov.co" TargetMode="External"/><Relationship Id="rId264" Type="http://schemas.openxmlformats.org/officeDocument/2006/relationships/hyperlink" Target="mailto:dora.carodsc@mininterior.gov.co" TargetMode="External"/><Relationship Id="rId17" Type="http://schemas.openxmlformats.org/officeDocument/2006/relationships/hyperlink" Target="mailto:jarmando.serrano@mininterior.gov.co" TargetMode="External"/><Relationship Id="rId59" Type="http://schemas.openxmlformats.org/officeDocument/2006/relationships/hyperlink" Target="mailto:edgar.gonzalez@mininterior.gov.co" TargetMode="External"/><Relationship Id="rId124" Type="http://schemas.openxmlformats.org/officeDocument/2006/relationships/hyperlink" Target="mailto:edgar.gonzalez@mininterior.gov.co" TargetMode="External"/><Relationship Id="rId70" Type="http://schemas.openxmlformats.org/officeDocument/2006/relationships/hyperlink" Target="mailto:edgar.gonzalez@mininterior.gov.co" TargetMode="External"/><Relationship Id="rId166" Type="http://schemas.openxmlformats.org/officeDocument/2006/relationships/hyperlink" Target="mailto:rodolfo.vega@mininterior.gov.co" TargetMode="External"/><Relationship Id="rId331" Type="http://schemas.openxmlformats.org/officeDocument/2006/relationships/hyperlink" Target="mailto:carlos.prada@mininterior.gov.co" TargetMode="External"/><Relationship Id="rId373" Type="http://schemas.openxmlformats.org/officeDocument/2006/relationships/hyperlink" Target="mailto:cesar.fandino@mininterior.gov.co" TargetMode="External"/><Relationship Id="rId429" Type="http://schemas.openxmlformats.org/officeDocument/2006/relationships/hyperlink" Target="mailto:cesar.fandino@mininterior.gov.co" TargetMode="External"/><Relationship Id="rId1" Type="http://schemas.openxmlformats.org/officeDocument/2006/relationships/hyperlink" Target="mailto:victor.moreno@mininterior.gov.co" TargetMode="External"/><Relationship Id="rId233" Type="http://schemas.openxmlformats.org/officeDocument/2006/relationships/hyperlink" Target="mailto:edgar.gonzalez@mininterior.gov.co" TargetMode="External"/><Relationship Id="rId440" Type="http://schemas.openxmlformats.org/officeDocument/2006/relationships/hyperlink" Target="mailto:cesar.fandino@mininterior.gov.co" TargetMode="External"/><Relationship Id="rId28" Type="http://schemas.openxmlformats.org/officeDocument/2006/relationships/hyperlink" Target="mailto:edgar.gonzalez@mininterior.gov.co" TargetMode="External"/><Relationship Id="rId275" Type="http://schemas.openxmlformats.org/officeDocument/2006/relationships/hyperlink" Target="mailto:franklin.castaneda@mininterior.gov.co" TargetMode="External"/><Relationship Id="rId300" Type="http://schemas.openxmlformats.org/officeDocument/2006/relationships/hyperlink" Target="mailto:idalmy.minotta@mininterior.gov.co" TargetMode="External"/><Relationship Id="rId81" Type="http://schemas.openxmlformats.org/officeDocument/2006/relationships/hyperlink" Target="mailto:edgar.gonzalez@mininterior.gov.co" TargetMode="External"/><Relationship Id="rId135" Type="http://schemas.openxmlformats.org/officeDocument/2006/relationships/hyperlink" Target="mailto:edgar.gonzalez@mininterior.gov.co" TargetMode="External"/><Relationship Id="rId177" Type="http://schemas.openxmlformats.org/officeDocument/2006/relationships/hyperlink" Target="mailto:rodolfo.vega@mininterior.gov.co" TargetMode="External"/><Relationship Id="rId342" Type="http://schemas.openxmlformats.org/officeDocument/2006/relationships/hyperlink" Target="mailto:carlos.cordobam@mininterior.gov.co" TargetMode="External"/><Relationship Id="rId384" Type="http://schemas.openxmlformats.org/officeDocument/2006/relationships/hyperlink" Target="mailto:cesar.fandino@mininterior.gov.co" TargetMode="External"/><Relationship Id="rId202" Type="http://schemas.openxmlformats.org/officeDocument/2006/relationships/hyperlink" Target="mailto:rodolfo.vega@mininterior.gov.co" TargetMode="External"/><Relationship Id="rId244" Type="http://schemas.openxmlformats.org/officeDocument/2006/relationships/hyperlink" Target="mailto:edgar.gonzalez@mininterior.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uan.reyes@mininterio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B1:I12"/>
  <sheetViews>
    <sheetView topLeftCell="A11" workbookViewId="0">
      <selection activeCell="C13" sqref="C13"/>
    </sheetView>
  </sheetViews>
  <sheetFormatPr baseColWidth="10" defaultColWidth="9.140625" defaultRowHeight="15" x14ac:dyDescent="0.25"/>
  <cols>
    <col min="1" max="1" width="10.85546875" customWidth="1"/>
    <col min="2" max="2" width="25.7109375" style="49" customWidth="1"/>
    <col min="3" max="3" width="79" customWidth="1"/>
    <col min="4" max="4" width="14.28515625" customWidth="1"/>
    <col min="5" max="5" width="11.85546875" customWidth="1"/>
    <col min="6" max="6" width="14.42578125" customWidth="1"/>
    <col min="7" max="7" width="34" customWidth="1"/>
    <col min="8" max="9" width="26.140625" customWidth="1"/>
    <col min="257" max="257" width="10.85546875" customWidth="1"/>
    <col min="258" max="258" width="25.7109375" customWidth="1"/>
    <col min="259" max="259" width="79" customWidth="1"/>
    <col min="260" max="260" width="14.28515625" customWidth="1"/>
    <col min="261" max="261" width="11.85546875" customWidth="1"/>
    <col min="262" max="262" width="14.42578125" customWidth="1"/>
    <col min="263" max="263" width="34" customWidth="1"/>
    <col min="264" max="265" width="26.140625" customWidth="1"/>
    <col min="513" max="513" width="10.85546875" customWidth="1"/>
    <col min="514" max="514" width="25.7109375" customWidth="1"/>
    <col min="515" max="515" width="79" customWidth="1"/>
    <col min="516" max="516" width="14.28515625" customWidth="1"/>
    <col min="517" max="517" width="11.85546875" customWidth="1"/>
    <col min="518" max="518" width="14.42578125" customWidth="1"/>
    <col min="519" max="519" width="34" customWidth="1"/>
    <col min="520" max="521" width="26.140625" customWidth="1"/>
    <col min="769" max="769" width="10.85546875" customWidth="1"/>
    <col min="770" max="770" width="25.7109375" customWidth="1"/>
    <col min="771" max="771" width="79" customWidth="1"/>
    <col min="772" max="772" width="14.28515625" customWidth="1"/>
    <col min="773" max="773" width="11.85546875" customWidth="1"/>
    <col min="774" max="774" width="14.42578125" customWidth="1"/>
    <col min="775" max="775" width="34" customWidth="1"/>
    <col min="776" max="777" width="26.140625" customWidth="1"/>
    <col min="1025" max="1025" width="10.85546875" customWidth="1"/>
    <col min="1026" max="1026" width="25.7109375" customWidth="1"/>
    <col min="1027" max="1027" width="79" customWidth="1"/>
    <col min="1028" max="1028" width="14.28515625" customWidth="1"/>
    <col min="1029" max="1029" width="11.85546875" customWidth="1"/>
    <col min="1030" max="1030" width="14.42578125" customWidth="1"/>
    <col min="1031" max="1031" width="34" customWidth="1"/>
    <col min="1032" max="1033" width="26.140625" customWidth="1"/>
    <col min="1281" max="1281" width="10.85546875" customWidth="1"/>
    <col min="1282" max="1282" width="25.7109375" customWidth="1"/>
    <col min="1283" max="1283" width="79" customWidth="1"/>
    <col min="1284" max="1284" width="14.28515625" customWidth="1"/>
    <col min="1285" max="1285" width="11.85546875" customWidth="1"/>
    <col min="1286" max="1286" width="14.42578125" customWidth="1"/>
    <col min="1287" max="1287" width="34" customWidth="1"/>
    <col min="1288" max="1289" width="26.140625" customWidth="1"/>
    <col min="1537" max="1537" width="10.85546875" customWidth="1"/>
    <col min="1538" max="1538" width="25.7109375" customWidth="1"/>
    <col min="1539" max="1539" width="79" customWidth="1"/>
    <col min="1540" max="1540" width="14.28515625" customWidth="1"/>
    <col min="1541" max="1541" width="11.85546875" customWidth="1"/>
    <col min="1542" max="1542" width="14.42578125" customWidth="1"/>
    <col min="1543" max="1543" width="34" customWidth="1"/>
    <col min="1544" max="1545" width="26.140625" customWidth="1"/>
    <col min="1793" max="1793" width="10.85546875" customWidth="1"/>
    <col min="1794" max="1794" width="25.7109375" customWidth="1"/>
    <col min="1795" max="1795" width="79" customWidth="1"/>
    <col min="1796" max="1796" width="14.28515625" customWidth="1"/>
    <col min="1797" max="1797" width="11.85546875" customWidth="1"/>
    <col min="1798" max="1798" width="14.42578125" customWidth="1"/>
    <col min="1799" max="1799" width="34" customWidth="1"/>
    <col min="1800" max="1801" width="26.140625" customWidth="1"/>
    <col min="2049" max="2049" width="10.85546875" customWidth="1"/>
    <col min="2050" max="2050" width="25.7109375" customWidth="1"/>
    <col min="2051" max="2051" width="79" customWidth="1"/>
    <col min="2052" max="2052" width="14.28515625" customWidth="1"/>
    <col min="2053" max="2053" width="11.85546875" customWidth="1"/>
    <col min="2054" max="2054" width="14.42578125" customWidth="1"/>
    <col min="2055" max="2055" width="34" customWidth="1"/>
    <col min="2056" max="2057" width="26.140625" customWidth="1"/>
    <col min="2305" max="2305" width="10.85546875" customWidth="1"/>
    <col min="2306" max="2306" width="25.7109375" customWidth="1"/>
    <col min="2307" max="2307" width="79" customWidth="1"/>
    <col min="2308" max="2308" width="14.28515625" customWidth="1"/>
    <col min="2309" max="2309" width="11.85546875" customWidth="1"/>
    <col min="2310" max="2310" width="14.42578125" customWidth="1"/>
    <col min="2311" max="2311" width="34" customWidth="1"/>
    <col min="2312" max="2313" width="26.140625" customWidth="1"/>
    <col min="2561" max="2561" width="10.85546875" customWidth="1"/>
    <col min="2562" max="2562" width="25.7109375" customWidth="1"/>
    <col min="2563" max="2563" width="79" customWidth="1"/>
    <col min="2564" max="2564" width="14.28515625" customWidth="1"/>
    <col min="2565" max="2565" width="11.85546875" customWidth="1"/>
    <col min="2566" max="2566" width="14.42578125" customWidth="1"/>
    <col min="2567" max="2567" width="34" customWidth="1"/>
    <col min="2568" max="2569" width="26.140625" customWidth="1"/>
    <col min="2817" max="2817" width="10.85546875" customWidth="1"/>
    <col min="2818" max="2818" width="25.7109375" customWidth="1"/>
    <col min="2819" max="2819" width="79" customWidth="1"/>
    <col min="2820" max="2820" width="14.28515625" customWidth="1"/>
    <col min="2821" max="2821" width="11.85546875" customWidth="1"/>
    <col min="2822" max="2822" width="14.42578125" customWidth="1"/>
    <col min="2823" max="2823" width="34" customWidth="1"/>
    <col min="2824" max="2825" width="26.140625" customWidth="1"/>
    <col min="3073" max="3073" width="10.85546875" customWidth="1"/>
    <col min="3074" max="3074" width="25.7109375" customWidth="1"/>
    <col min="3075" max="3075" width="79" customWidth="1"/>
    <col min="3076" max="3076" width="14.28515625" customWidth="1"/>
    <col min="3077" max="3077" width="11.85546875" customWidth="1"/>
    <col min="3078" max="3078" width="14.42578125" customWidth="1"/>
    <col min="3079" max="3079" width="34" customWidth="1"/>
    <col min="3080" max="3081" width="26.140625" customWidth="1"/>
    <col min="3329" max="3329" width="10.85546875" customWidth="1"/>
    <col min="3330" max="3330" width="25.7109375" customWidth="1"/>
    <col min="3331" max="3331" width="79" customWidth="1"/>
    <col min="3332" max="3332" width="14.28515625" customWidth="1"/>
    <col min="3333" max="3333" width="11.85546875" customWidth="1"/>
    <col min="3334" max="3334" width="14.42578125" customWidth="1"/>
    <col min="3335" max="3335" width="34" customWidth="1"/>
    <col min="3336" max="3337" width="26.140625" customWidth="1"/>
    <col min="3585" max="3585" width="10.85546875" customWidth="1"/>
    <col min="3586" max="3586" width="25.7109375" customWidth="1"/>
    <col min="3587" max="3587" width="79" customWidth="1"/>
    <col min="3588" max="3588" width="14.28515625" customWidth="1"/>
    <col min="3589" max="3589" width="11.85546875" customWidth="1"/>
    <col min="3590" max="3590" width="14.42578125" customWidth="1"/>
    <col min="3591" max="3591" width="34" customWidth="1"/>
    <col min="3592" max="3593" width="26.140625" customWidth="1"/>
    <col min="3841" max="3841" width="10.85546875" customWidth="1"/>
    <col min="3842" max="3842" width="25.7109375" customWidth="1"/>
    <col min="3843" max="3843" width="79" customWidth="1"/>
    <col min="3844" max="3844" width="14.28515625" customWidth="1"/>
    <col min="3845" max="3845" width="11.85546875" customWidth="1"/>
    <col min="3846" max="3846" width="14.42578125" customWidth="1"/>
    <col min="3847" max="3847" width="34" customWidth="1"/>
    <col min="3848" max="3849" width="26.140625" customWidth="1"/>
    <col min="4097" max="4097" width="10.85546875" customWidth="1"/>
    <col min="4098" max="4098" width="25.7109375" customWidth="1"/>
    <col min="4099" max="4099" width="79" customWidth="1"/>
    <col min="4100" max="4100" width="14.28515625" customWidth="1"/>
    <col min="4101" max="4101" width="11.85546875" customWidth="1"/>
    <col min="4102" max="4102" width="14.42578125" customWidth="1"/>
    <col min="4103" max="4103" width="34" customWidth="1"/>
    <col min="4104" max="4105" width="26.140625" customWidth="1"/>
    <col min="4353" max="4353" width="10.85546875" customWidth="1"/>
    <col min="4354" max="4354" width="25.7109375" customWidth="1"/>
    <col min="4355" max="4355" width="79" customWidth="1"/>
    <col min="4356" max="4356" width="14.28515625" customWidth="1"/>
    <col min="4357" max="4357" width="11.85546875" customWidth="1"/>
    <col min="4358" max="4358" width="14.42578125" customWidth="1"/>
    <col min="4359" max="4359" width="34" customWidth="1"/>
    <col min="4360" max="4361" width="26.140625" customWidth="1"/>
    <col min="4609" max="4609" width="10.85546875" customWidth="1"/>
    <col min="4610" max="4610" width="25.7109375" customWidth="1"/>
    <col min="4611" max="4611" width="79" customWidth="1"/>
    <col min="4612" max="4612" width="14.28515625" customWidth="1"/>
    <col min="4613" max="4613" width="11.85546875" customWidth="1"/>
    <col min="4614" max="4614" width="14.42578125" customWidth="1"/>
    <col min="4615" max="4615" width="34" customWidth="1"/>
    <col min="4616" max="4617" width="26.140625" customWidth="1"/>
    <col min="4865" max="4865" width="10.85546875" customWidth="1"/>
    <col min="4866" max="4866" width="25.7109375" customWidth="1"/>
    <col min="4867" max="4867" width="79" customWidth="1"/>
    <col min="4868" max="4868" width="14.28515625" customWidth="1"/>
    <col min="4869" max="4869" width="11.85546875" customWidth="1"/>
    <col min="4870" max="4870" width="14.42578125" customWidth="1"/>
    <col min="4871" max="4871" width="34" customWidth="1"/>
    <col min="4872" max="4873" width="26.140625" customWidth="1"/>
    <col min="5121" max="5121" width="10.85546875" customWidth="1"/>
    <col min="5122" max="5122" width="25.7109375" customWidth="1"/>
    <col min="5123" max="5123" width="79" customWidth="1"/>
    <col min="5124" max="5124" width="14.28515625" customWidth="1"/>
    <col min="5125" max="5125" width="11.85546875" customWidth="1"/>
    <col min="5126" max="5126" width="14.42578125" customWidth="1"/>
    <col min="5127" max="5127" width="34" customWidth="1"/>
    <col min="5128" max="5129" width="26.140625" customWidth="1"/>
    <col min="5377" max="5377" width="10.85546875" customWidth="1"/>
    <col min="5378" max="5378" width="25.7109375" customWidth="1"/>
    <col min="5379" max="5379" width="79" customWidth="1"/>
    <col min="5380" max="5380" width="14.28515625" customWidth="1"/>
    <col min="5381" max="5381" width="11.85546875" customWidth="1"/>
    <col min="5382" max="5382" width="14.42578125" customWidth="1"/>
    <col min="5383" max="5383" width="34" customWidth="1"/>
    <col min="5384" max="5385" width="26.140625" customWidth="1"/>
    <col min="5633" max="5633" width="10.85546875" customWidth="1"/>
    <col min="5634" max="5634" width="25.7109375" customWidth="1"/>
    <col min="5635" max="5635" width="79" customWidth="1"/>
    <col min="5636" max="5636" width="14.28515625" customWidth="1"/>
    <col min="5637" max="5637" width="11.85546875" customWidth="1"/>
    <col min="5638" max="5638" width="14.42578125" customWidth="1"/>
    <col min="5639" max="5639" width="34" customWidth="1"/>
    <col min="5640" max="5641" width="26.140625" customWidth="1"/>
    <col min="5889" max="5889" width="10.85546875" customWidth="1"/>
    <col min="5890" max="5890" width="25.7109375" customWidth="1"/>
    <col min="5891" max="5891" width="79" customWidth="1"/>
    <col min="5892" max="5892" width="14.28515625" customWidth="1"/>
    <col min="5893" max="5893" width="11.85546875" customWidth="1"/>
    <col min="5894" max="5894" width="14.42578125" customWidth="1"/>
    <col min="5895" max="5895" width="34" customWidth="1"/>
    <col min="5896" max="5897" width="26.140625" customWidth="1"/>
    <col min="6145" max="6145" width="10.85546875" customWidth="1"/>
    <col min="6146" max="6146" width="25.7109375" customWidth="1"/>
    <col min="6147" max="6147" width="79" customWidth="1"/>
    <col min="6148" max="6148" width="14.28515625" customWidth="1"/>
    <col min="6149" max="6149" width="11.85546875" customWidth="1"/>
    <col min="6150" max="6150" width="14.42578125" customWidth="1"/>
    <col min="6151" max="6151" width="34" customWidth="1"/>
    <col min="6152" max="6153" width="26.140625" customWidth="1"/>
    <col min="6401" max="6401" width="10.85546875" customWidth="1"/>
    <col min="6402" max="6402" width="25.7109375" customWidth="1"/>
    <col min="6403" max="6403" width="79" customWidth="1"/>
    <col min="6404" max="6404" width="14.28515625" customWidth="1"/>
    <col min="6405" max="6405" width="11.85546875" customWidth="1"/>
    <col min="6406" max="6406" width="14.42578125" customWidth="1"/>
    <col min="6407" max="6407" width="34" customWidth="1"/>
    <col min="6408" max="6409" width="26.140625" customWidth="1"/>
    <col min="6657" max="6657" width="10.85546875" customWidth="1"/>
    <col min="6658" max="6658" width="25.7109375" customWidth="1"/>
    <col min="6659" max="6659" width="79" customWidth="1"/>
    <col min="6660" max="6660" width="14.28515625" customWidth="1"/>
    <col min="6661" max="6661" width="11.85546875" customWidth="1"/>
    <col min="6662" max="6662" width="14.42578125" customWidth="1"/>
    <col min="6663" max="6663" width="34" customWidth="1"/>
    <col min="6664" max="6665" width="26.140625" customWidth="1"/>
    <col min="6913" max="6913" width="10.85546875" customWidth="1"/>
    <col min="6914" max="6914" width="25.7109375" customWidth="1"/>
    <col min="6915" max="6915" width="79" customWidth="1"/>
    <col min="6916" max="6916" width="14.28515625" customWidth="1"/>
    <col min="6917" max="6917" width="11.85546875" customWidth="1"/>
    <col min="6918" max="6918" width="14.42578125" customWidth="1"/>
    <col min="6919" max="6919" width="34" customWidth="1"/>
    <col min="6920" max="6921" width="26.140625" customWidth="1"/>
    <col min="7169" max="7169" width="10.85546875" customWidth="1"/>
    <col min="7170" max="7170" width="25.7109375" customWidth="1"/>
    <col min="7171" max="7171" width="79" customWidth="1"/>
    <col min="7172" max="7172" width="14.28515625" customWidth="1"/>
    <col min="7173" max="7173" width="11.85546875" customWidth="1"/>
    <col min="7174" max="7174" width="14.42578125" customWidth="1"/>
    <col min="7175" max="7175" width="34" customWidth="1"/>
    <col min="7176" max="7177" width="26.140625" customWidth="1"/>
    <col min="7425" max="7425" width="10.85546875" customWidth="1"/>
    <col min="7426" max="7426" width="25.7109375" customWidth="1"/>
    <col min="7427" max="7427" width="79" customWidth="1"/>
    <col min="7428" max="7428" width="14.28515625" customWidth="1"/>
    <col min="7429" max="7429" width="11.85546875" customWidth="1"/>
    <col min="7430" max="7430" width="14.42578125" customWidth="1"/>
    <col min="7431" max="7431" width="34" customWidth="1"/>
    <col min="7432" max="7433" width="26.140625" customWidth="1"/>
    <col min="7681" max="7681" width="10.85546875" customWidth="1"/>
    <col min="7682" max="7682" width="25.7109375" customWidth="1"/>
    <col min="7683" max="7683" width="79" customWidth="1"/>
    <col min="7684" max="7684" width="14.28515625" customWidth="1"/>
    <col min="7685" max="7685" width="11.85546875" customWidth="1"/>
    <col min="7686" max="7686" width="14.42578125" customWidth="1"/>
    <col min="7687" max="7687" width="34" customWidth="1"/>
    <col min="7688" max="7689" width="26.140625" customWidth="1"/>
    <col min="7937" max="7937" width="10.85546875" customWidth="1"/>
    <col min="7938" max="7938" width="25.7109375" customWidth="1"/>
    <col min="7939" max="7939" width="79" customWidth="1"/>
    <col min="7940" max="7940" width="14.28515625" customWidth="1"/>
    <col min="7941" max="7941" width="11.85546875" customWidth="1"/>
    <col min="7942" max="7942" width="14.42578125" customWidth="1"/>
    <col min="7943" max="7943" width="34" customWidth="1"/>
    <col min="7944" max="7945" width="26.140625" customWidth="1"/>
    <col min="8193" max="8193" width="10.85546875" customWidth="1"/>
    <col min="8194" max="8194" width="25.7109375" customWidth="1"/>
    <col min="8195" max="8195" width="79" customWidth="1"/>
    <col min="8196" max="8196" width="14.28515625" customWidth="1"/>
    <col min="8197" max="8197" width="11.85546875" customWidth="1"/>
    <col min="8198" max="8198" width="14.42578125" customWidth="1"/>
    <col min="8199" max="8199" width="34" customWidth="1"/>
    <col min="8200" max="8201" width="26.140625" customWidth="1"/>
    <col min="8449" max="8449" width="10.85546875" customWidth="1"/>
    <col min="8450" max="8450" width="25.7109375" customWidth="1"/>
    <col min="8451" max="8451" width="79" customWidth="1"/>
    <col min="8452" max="8452" width="14.28515625" customWidth="1"/>
    <col min="8453" max="8453" width="11.85546875" customWidth="1"/>
    <col min="8454" max="8454" width="14.42578125" customWidth="1"/>
    <col min="8455" max="8455" width="34" customWidth="1"/>
    <col min="8456" max="8457" width="26.140625" customWidth="1"/>
    <col min="8705" max="8705" width="10.85546875" customWidth="1"/>
    <col min="8706" max="8706" width="25.7109375" customWidth="1"/>
    <col min="8707" max="8707" width="79" customWidth="1"/>
    <col min="8708" max="8708" width="14.28515625" customWidth="1"/>
    <col min="8709" max="8709" width="11.85546875" customWidth="1"/>
    <col min="8710" max="8710" width="14.42578125" customWidth="1"/>
    <col min="8711" max="8711" width="34" customWidth="1"/>
    <col min="8712" max="8713" width="26.140625" customWidth="1"/>
    <col min="8961" max="8961" width="10.85546875" customWidth="1"/>
    <col min="8962" max="8962" width="25.7109375" customWidth="1"/>
    <col min="8963" max="8963" width="79" customWidth="1"/>
    <col min="8964" max="8964" width="14.28515625" customWidth="1"/>
    <col min="8965" max="8965" width="11.85546875" customWidth="1"/>
    <col min="8966" max="8966" width="14.42578125" customWidth="1"/>
    <col min="8967" max="8967" width="34" customWidth="1"/>
    <col min="8968" max="8969" width="26.140625" customWidth="1"/>
    <col min="9217" max="9217" width="10.85546875" customWidth="1"/>
    <col min="9218" max="9218" width="25.7109375" customWidth="1"/>
    <col min="9219" max="9219" width="79" customWidth="1"/>
    <col min="9220" max="9220" width="14.28515625" customWidth="1"/>
    <col min="9221" max="9221" width="11.85546875" customWidth="1"/>
    <col min="9222" max="9222" width="14.42578125" customWidth="1"/>
    <col min="9223" max="9223" width="34" customWidth="1"/>
    <col min="9224" max="9225" width="26.140625" customWidth="1"/>
    <col min="9473" max="9473" width="10.85546875" customWidth="1"/>
    <col min="9474" max="9474" width="25.7109375" customWidth="1"/>
    <col min="9475" max="9475" width="79" customWidth="1"/>
    <col min="9476" max="9476" width="14.28515625" customWidth="1"/>
    <col min="9477" max="9477" width="11.85546875" customWidth="1"/>
    <col min="9478" max="9478" width="14.42578125" customWidth="1"/>
    <col min="9479" max="9479" width="34" customWidth="1"/>
    <col min="9480" max="9481" width="26.140625" customWidth="1"/>
    <col min="9729" max="9729" width="10.85546875" customWidth="1"/>
    <col min="9730" max="9730" width="25.7109375" customWidth="1"/>
    <col min="9731" max="9731" width="79" customWidth="1"/>
    <col min="9732" max="9732" width="14.28515625" customWidth="1"/>
    <col min="9733" max="9733" width="11.85546875" customWidth="1"/>
    <col min="9734" max="9734" width="14.42578125" customWidth="1"/>
    <col min="9735" max="9735" width="34" customWidth="1"/>
    <col min="9736" max="9737" width="26.140625" customWidth="1"/>
    <col min="9985" max="9985" width="10.85546875" customWidth="1"/>
    <col min="9986" max="9986" width="25.7109375" customWidth="1"/>
    <col min="9987" max="9987" width="79" customWidth="1"/>
    <col min="9988" max="9988" width="14.28515625" customWidth="1"/>
    <col min="9989" max="9989" width="11.85546875" customWidth="1"/>
    <col min="9990" max="9990" width="14.42578125" customWidth="1"/>
    <col min="9991" max="9991" width="34" customWidth="1"/>
    <col min="9992" max="9993" width="26.140625" customWidth="1"/>
    <col min="10241" max="10241" width="10.85546875" customWidth="1"/>
    <col min="10242" max="10242" width="25.7109375" customWidth="1"/>
    <col min="10243" max="10243" width="79" customWidth="1"/>
    <col min="10244" max="10244" width="14.28515625" customWidth="1"/>
    <col min="10245" max="10245" width="11.85546875" customWidth="1"/>
    <col min="10246" max="10246" width="14.42578125" customWidth="1"/>
    <col min="10247" max="10247" width="34" customWidth="1"/>
    <col min="10248" max="10249" width="26.140625" customWidth="1"/>
    <col min="10497" max="10497" width="10.85546875" customWidth="1"/>
    <col min="10498" max="10498" width="25.7109375" customWidth="1"/>
    <col min="10499" max="10499" width="79" customWidth="1"/>
    <col min="10500" max="10500" width="14.28515625" customWidth="1"/>
    <col min="10501" max="10501" width="11.85546875" customWidth="1"/>
    <col min="10502" max="10502" width="14.42578125" customWidth="1"/>
    <col min="10503" max="10503" width="34" customWidth="1"/>
    <col min="10504" max="10505" width="26.140625" customWidth="1"/>
    <col min="10753" max="10753" width="10.85546875" customWidth="1"/>
    <col min="10754" max="10754" width="25.7109375" customWidth="1"/>
    <col min="10755" max="10755" width="79" customWidth="1"/>
    <col min="10756" max="10756" width="14.28515625" customWidth="1"/>
    <col min="10757" max="10757" width="11.85546875" customWidth="1"/>
    <col min="10758" max="10758" width="14.42578125" customWidth="1"/>
    <col min="10759" max="10759" width="34" customWidth="1"/>
    <col min="10760" max="10761" width="26.140625" customWidth="1"/>
    <col min="11009" max="11009" width="10.85546875" customWidth="1"/>
    <col min="11010" max="11010" width="25.7109375" customWidth="1"/>
    <col min="11011" max="11011" width="79" customWidth="1"/>
    <col min="11012" max="11012" width="14.28515625" customWidth="1"/>
    <col min="11013" max="11013" width="11.85546875" customWidth="1"/>
    <col min="11014" max="11014" width="14.42578125" customWidth="1"/>
    <col min="11015" max="11015" width="34" customWidth="1"/>
    <col min="11016" max="11017" width="26.140625" customWidth="1"/>
    <col min="11265" max="11265" width="10.85546875" customWidth="1"/>
    <col min="11266" max="11266" width="25.7109375" customWidth="1"/>
    <col min="11267" max="11267" width="79" customWidth="1"/>
    <col min="11268" max="11268" width="14.28515625" customWidth="1"/>
    <col min="11269" max="11269" width="11.85546875" customWidth="1"/>
    <col min="11270" max="11270" width="14.42578125" customWidth="1"/>
    <col min="11271" max="11271" width="34" customWidth="1"/>
    <col min="11272" max="11273" width="26.140625" customWidth="1"/>
    <col min="11521" max="11521" width="10.85546875" customWidth="1"/>
    <col min="11522" max="11522" width="25.7109375" customWidth="1"/>
    <col min="11523" max="11523" width="79" customWidth="1"/>
    <col min="11524" max="11524" width="14.28515625" customWidth="1"/>
    <col min="11525" max="11525" width="11.85546875" customWidth="1"/>
    <col min="11526" max="11526" width="14.42578125" customWidth="1"/>
    <col min="11527" max="11527" width="34" customWidth="1"/>
    <col min="11528" max="11529" width="26.140625" customWidth="1"/>
    <col min="11777" max="11777" width="10.85546875" customWidth="1"/>
    <col min="11778" max="11778" width="25.7109375" customWidth="1"/>
    <col min="11779" max="11779" width="79" customWidth="1"/>
    <col min="11780" max="11780" width="14.28515625" customWidth="1"/>
    <col min="11781" max="11781" width="11.85546875" customWidth="1"/>
    <col min="11782" max="11782" width="14.42578125" customWidth="1"/>
    <col min="11783" max="11783" width="34" customWidth="1"/>
    <col min="11784" max="11785" width="26.140625" customWidth="1"/>
    <col min="12033" max="12033" width="10.85546875" customWidth="1"/>
    <col min="12034" max="12034" width="25.7109375" customWidth="1"/>
    <col min="12035" max="12035" width="79" customWidth="1"/>
    <col min="12036" max="12036" width="14.28515625" customWidth="1"/>
    <col min="12037" max="12037" width="11.85546875" customWidth="1"/>
    <col min="12038" max="12038" width="14.42578125" customWidth="1"/>
    <col min="12039" max="12039" width="34" customWidth="1"/>
    <col min="12040" max="12041" width="26.140625" customWidth="1"/>
    <col min="12289" max="12289" width="10.85546875" customWidth="1"/>
    <col min="12290" max="12290" width="25.7109375" customWidth="1"/>
    <col min="12291" max="12291" width="79" customWidth="1"/>
    <col min="12292" max="12292" width="14.28515625" customWidth="1"/>
    <col min="12293" max="12293" width="11.85546875" customWidth="1"/>
    <col min="12294" max="12294" width="14.42578125" customWidth="1"/>
    <col min="12295" max="12295" width="34" customWidth="1"/>
    <col min="12296" max="12297" width="26.140625" customWidth="1"/>
    <col min="12545" max="12545" width="10.85546875" customWidth="1"/>
    <col min="12546" max="12546" width="25.7109375" customWidth="1"/>
    <col min="12547" max="12547" width="79" customWidth="1"/>
    <col min="12548" max="12548" width="14.28515625" customWidth="1"/>
    <col min="12549" max="12549" width="11.85546875" customWidth="1"/>
    <col min="12550" max="12550" width="14.42578125" customWidth="1"/>
    <col min="12551" max="12551" width="34" customWidth="1"/>
    <col min="12552" max="12553" width="26.140625" customWidth="1"/>
    <col min="12801" max="12801" width="10.85546875" customWidth="1"/>
    <col min="12802" max="12802" width="25.7109375" customWidth="1"/>
    <col min="12803" max="12803" width="79" customWidth="1"/>
    <col min="12804" max="12804" width="14.28515625" customWidth="1"/>
    <col min="12805" max="12805" width="11.85546875" customWidth="1"/>
    <col min="12806" max="12806" width="14.42578125" customWidth="1"/>
    <col min="12807" max="12807" width="34" customWidth="1"/>
    <col min="12808" max="12809" width="26.140625" customWidth="1"/>
    <col min="13057" max="13057" width="10.85546875" customWidth="1"/>
    <col min="13058" max="13058" width="25.7109375" customWidth="1"/>
    <col min="13059" max="13059" width="79" customWidth="1"/>
    <col min="13060" max="13060" width="14.28515625" customWidth="1"/>
    <col min="13061" max="13061" width="11.85546875" customWidth="1"/>
    <col min="13062" max="13062" width="14.42578125" customWidth="1"/>
    <col min="13063" max="13063" width="34" customWidth="1"/>
    <col min="13064" max="13065" width="26.140625" customWidth="1"/>
    <col min="13313" max="13313" width="10.85546875" customWidth="1"/>
    <col min="13314" max="13314" width="25.7109375" customWidth="1"/>
    <col min="13315" max="13315" width="79" customWidth="1"/>
    <col min="13316" max="13316" width="14.28515625" customWidth="1"/>
    <col min="13317" max="13317" width="11.85546875" customWidth="1"/>
    <col min="13318" max="13318" width="14.42578125" customWidth="1"/>
    <col min="13319" max="13319" width="34" customWidth="1"/>
    <col min="13320" max="13321" width="26.140625" customWidth="1"/>
    <col min="13569" max="13569" width="10.85546875" customWidth="1"/>
    <col min="13570" max="13570" width="25.7109375" customWidth="1"/>
    <col min="13571" max="13571" width="79" customWidth="1"/>
    <col min="13572" max="13572" width="14.28515625" customWidth="1"/>
    <col min="13573" max="13573" width="11.85546875" customWidth="1"/>
    <col min="13574" max="13574" width="14.42578125" customWidth="1"/>
    <col min="13575" max="13575" width="34" customWidth="1"/>
    <col min="13576" max="13577" width="26.140625" customWidth="1"/>
    <col min="13825" max="13825" width="10.85546875" customWidth="1"/>
    <col min="13826" max="13826" width="25.7109375" customWidth="1"/>
    <col min="13827" max="13827" width="79" customWidth="1"/>
    <col min="13828" max="13828" width="14.28515625" customWidth="1"/>
    <col min="13829" max="13829" width="11.85546875" customWidth="1"/>
    <col min="13830" max="13830" width="14.42578125" customWidth="1"/>
    <col min="13831" max="13831" width="34" customWidth="1"/>
    <col min="13832" max="13833" width="26.140625" customWidth="1"/>
    <col min="14081" max="14081" width="10.85546875" customWidth="1"/>
    <col min="14082" max="14082" width="25.7109375" customWidth="1"/>
    <col min="14083" max="14083" width="79" customWidth="1"/>
    <col min="14084" max="14084" width="14.28515625" customWidth="1"/>
    <col min="14085" max="14085" width="11.85546875" customWidth="1"/>
    <col min="14086" max="14086" width="14.42578125" customWidth="1"/>
    <col min="14087" max="14087" width="34" customWidth="1"/>
    <col min="14088" max="14089" width="26.140625" customWidth="1"/>
    <col min="14337" max="14337" width="10.85546875" customWidth="1"/>
    <col min="14338" max="14338" width="25.7109375" customWidth="1"/>
    <col min="14339" max="14339" width="79" customWidth="1"/>
    <col min="14340" max="14340" width="14.28515625" customWidth="1"/>
    <col min="14341" max="14341" width="11.85546875" customWidth="1"/>
    <col min="14342" max="14342" width="14.42578125" customWidth="1"/>
    <col min="14343" max="14343" width="34" customWidth="1"/>
    <col min="14344" max="14345" width="26.140625" customWidth="1"/>
    <col min="14593" max="14593" width="10.85546875" customWidth="1"/>
    <col min="14594" max="14594" width="25.7109375" customWidth="1"/>
    <col min="14595" max="14595" width="79" customWidth="1"/>
    <col min="14596" max="14596" width="14.28515625" customWidth="1"/>
    <col min="14597" max="14597" width="11.85546875" customWidth="1"/>
    <col min="14598" max="14598" width="14.42578125" customWidth="1"/>
    <col min="14599" max="14599" width="34" customWidth="1"/>
    <col min="14600" max="14601" width="26.140625" customWidth="1"/>
    <col min="14849" max="14849" width="10.85546875" customWidth="1"/>
    <col min="14850" max="14850" width="25.7109375" customWidth="1"/>
    <col min="14851" max="14851" width="79" customWidth="1"/>
    <col min="14852" max="14852" width="14.28515625" customWidth="1"/>
    <col min="14853" max="14853" width="11.85546875" customWidth="1"/>
    <col min="14854" max="14854" width="14.42578125" customWidth="1"/>
    <col min="14855" max="14855" width="34" customWidth="1"/>
    <col min="14856" max="14857" width="26.140625" customWidth="1"/>
    <col min="15105" max="15105" width="10.85546875" customWidth="1"/>
    <col min="15106" max="15106" width="25.7109375" customWidth="1"/>
    <col min="15107" max="15107" width="79" customWidth="1"/>
    <col min="15108" max="15108" width="14.28515625" customWidth="1"/>
    <col min="15109" max="15109" width="11.85546875" customWidth="1"/>
    <col min="15110" max="15110" width="14.42578125" customWidth="1"/>
    <col min="15111" max="15111" width="34" customWidth="1"/>
    <col min="15112" max="15113" width="26.140625" customWidth="1"/>
    <col min="15361" max="15361" width="10.85546875" customWidth="1"/>
    <col min="15362" max="15362" width="25.7109375" customWidth="1"/>
    <col min="15363" max="15363" width="79" customWidth="1"/>
    <col min="15364" max="15364" width="14.28515625" customWidth="1"/>
    <col min="15365" max="15365" width="11.85546875" customWidth="1"/>
    <col min="15366" max="15366" width="14.42578125" customWidth="1"/>
    <col min="15367" max="15367" width="34" customWidth="1"/>
    <col min="15368" max="15369" width="26.140625" customWidth="1"/>
    <col min="15617" max="15617" width="10.85546875" customWidth="1"/>
    <col min="15618" max="15618" width="25.7109375" customWidth="1"/>
    <col min="15619" max="15619" width="79" customWidth="1"/>
    <col min="15620" max="15620" width="14.28515625" customWidth="1"/>
    <col min="15621" max="15621" width="11.85546875" customWidth="1"/>
    <col min="15622" max="15622" width="14.42578125" customWidth="1"/>
    <col min="15623" max="15623" width="34" customWidth="1"/>
    <col min="15624" max="15625" width="26.140625" customWidth="1"/>
    <col min="15873" max="15873" width="10.85546875" customWidth="1"/>
    <col min="15874" max="15874" width="25.7109375" customWidth="1"/>
    <col min="15875" max="15875" width="79" customWidth="1"/>
    <col min="15876" max="15876" width="14.28515625" customWidth="1"/>
    <col min="15877" max="15877" width="11.85546875" customWidth="1"/>
    <col min="15878" max="15878" width="14.42578125" customWidth="1"/>
    <col min="15879" max="15879" width="34" customWidth="1"/>
    <col min="15880" max="15881" width="26.140625" customWidth="1"/>
    <col min="16129" max="16129" width="10.85546875" customWidth="1"/>
    <col min="16130" max="16130" width="25.7109375" customWidth="1"/>
    <col min="16131" max="16131" width="79" customWidth="1"/>
    <col min="16132" max="16132" width="14.28515625" customWidth="1"/>
    <col min="16133" max="16133" width="11.85546875" customWidth="1"/>
    <col min="16134" max="16134" width="14.42578125" customWidth="1"/>
    <col min="16135" max="16135" width="34" customWidth="1"/>
    <col min="16136" max="16137" width="26.140625" customWidth="1"/>
  </cols>
  <sheetData>
    <row r="1" spans="2:9" s="5" customFormat="1" ht="21" thickBot="1" x14ac:dyDescent="0.35">
      <c r="B1" s="186" t="s">
        <v>0</v>
      </c>
      <c r="C1" s="187"/>
      <c r="D1" s="187"/>
      <c r="E1" s="187"/>
      <c r="F1" s="187"/>
      <c r="G1" s="187"/>
      <c r="H1" s="187"/>
      <c r="I1" s="188"/>
    </row>
    <row r="2" spans="2:9" s="5" customFormat="1" ht="16.5" thickBot="1" x14ac:dyDescent="0.3">
      <c r="B2" s="189" t="s">
        <v>1</v>
      </c>
      <c r="C2" s="189"/>
      <c r="D2" s="189"/>
      <c r="E2" s="189"/>
      <c r="F2" s="189"/>
      <c r="G2" s="189"/>
      <c r="H2" s="189"/>
      <c r="I2" s="189"/>
    </row>
    <row r="3" spans="2:9" s="5" customFormat="1" ht="15.75" x14ac:dyDescent="0.25">
      <c r="B3" s="50" t="s">
        <v>2</v>
      </c>
      <c r="C3" s="51" t="s">
        <v>3</v>
      </c>
      <c r="D3" s="6"/>
      <c r="E3" s="6"/>
      <c r="F3" s="6"/>
      <c r="G3" s="6"/>
      <c r="H3" s="4"/>
      <c r="I3" s="4"/>
    </row>
    <row r="4" spans="2:9" s="5" customFormat="1" ht="31.5" x14ac:dyDescent="0.25">
      <c r="B4" s="66" t="s">
        <v>4</v>
      </c>
      <c r="C4" s="67" t="s">
        <v>5</v>
      </c>
      <c r="D4" s="6"/>
      <c r="E4" s="6"/>
      <c r="F4" s="6"/>
      <c r="G4" s="6"/>
      <c r="H4" s="4"/>
      <c r="I4" s="4"/>
    </row>
    <row r="5" spans="2:9" s="5" customFormat="1" ht="15.75" x14ac:dyDescent="0.25">
      <c r="B5" s="66" t="s">
        <v>6</v>
      </c>
      <c r="C5" s="68" t="s">
        <v>7</v>
      </c>
      <c r="D5" s="6"/>
      <c r="E5" s="6"/>
      <c r="F5" s="6"/>
      <c r="G5" s="6"/>
      <c r="H5" s="4"/>
      <c r="I5" s="4"/>
    </row>
    <row r="6" spans="2:9" s="5" customFormat="1" ht="15.75" x14ac:dyDescent="0.25">
      <c r="B6" s="66" t="s">
        <v>8</v>
      </c>
      <c r="C6" s="69" t="s">
        <v>9</v>
      </c>
      <c r="D6" s="6"/>
      <c r="E6" s="6"/>
      <c r="F6" s="6"/>
      <c r="G6" s="6"/>
      <c r="H6" s="4"/>
      <c r="I6" s="4"/>
    </row>
    <row r="7" spans="2:9" s="5" customFormat="1" ht="186.75" customHeight="1" x14ac:dyDescent="0.2">
      <c r="B7" s="66" t="s">
        <v>10</v>
      </c>
      <c r="C7" s="70" t="s">
        <v>11</v>
      </c>
      <c r="D7" s="6"/>
      <c r="E7" s="6"/>
      <c r="F7" s="6"/>
      <c r="G7" s="190"/>
      <c r="H7" s="190"/>
      <c r="I7" s="4"/>
    </row>
    <row r="8" spans="2:9" s="5" customFormat="1" ht="108.75" customHeight="1" thickBot="1" x14ac:dyDescent="0.25">
      <c r="B8" s="66" t="s">
        <v>12</v>
      </c>
      <c r="C8" s="71" t="s">
        <v>13</v>
      </c>
      <c r="D8" s="6"/>
      <c r="E8" s="6"/>
      <c r="F8" s="6"/>
      <c r="G8" s="6"/>
      <c r="H8" s="6"/>
      <c r="I8" s="6"/>
    </row>
    <row r="9" spans="2:9" s="5" customFormat="1" ht="31.5" x14ac:dyDescent="0.2">
      <c r="B9" s="66" t="s">
        <v>14</v>
      </c>
      <c r="C9" s="72" t="s">
        <v>15</v>
      </c>
      <c r="D9" s="191" t="s">
        <v>16</v>
      </c>
      <c r="E9" s="192"/>
      <c r="F9" s="192"/>
      <c r="G9" s="192"/>
      <c r="H9" s="192"/>
      <c r="I9" s="193"/>
    </row>
    <row r="10" spans="2:9" s="5" customFormat="1" ht="47.25" x14ac:dyDescent="0.2">
      <c r="B10" s="66" t="s">
        <v>17</v>
      </c>
      <c r="C10" s="73" t="s">
        <v>18</v>
      </c>
      <c r="D10" s="194"/>
      <c r="E10" s="195"/>
      <c r="F10" s="195"/>
      <c r="G10" s="195"/>
      <c r="H10" s="195"/>
      <c r="I10" s="196"/>
    </row>
    <row r="11" spans="2:9" s="5" customFormat="1" ht="47.25" x14ac:dyDescent="0.2">
      <c r="B11" s="66" t="s">
        <v>19</v>
      </c>
      <c r="C11" s="73" t="s">
        <v>20</v>
      </c>
      <c r="D11" s="194"/>
      <c r="E11" s="195"/>
      <c r="F11" s="195"/>
      <c r="G11" s="195"/>
      <c r="H11" s="195"/>
      <c r="I11" s="196"/>
    </row>
    <row r="12" spans="2:9" s="5" customFormat="1" ht="31.5" x14ac:dyDescent="0.2">
      <c r="B12" s="74" t="s">
        <v>21</v>
      </c>
      <c r="C12" s="75">
        <v>45617</v>
      </c>
      <c r="D12" s="197"/>
      <c r="E12" s="198"/>
      <c r="F12" s="198"/>
      <c r="G12" s="198"/>
      <c r="H12" s="198"/>
      <c r="I12" s="199"/>
    </row>
  </sheetData>
  <mergeCells count="4">
    <mergeCell ref="B1:I1"/>
    <mergeCell ref="B2:I2"/>
    <mergeCell ref="G7:H7"/>
    <mergeCell ref="D9:I12"/>
  </mergeCells>
  <printOptions horizontalCentered="1" verticalCentered="1"/>
  <pageMargins left="0.11811023622047245" right="0.11811023622047245" top="0.15748031496062992" bottom="0.15748031496062992" header="0.31496062992125984" footer="0.31496062992125984"/>
  <pageSetup scale="5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6D8B8-2AAD-4F95-B44F-1FF38C2CC7A5}">
  <sheetPr filterMode="1">
    <pageSetUpPr fitToPage="1"/>
  </sheetPr>
  <dimension ref="A4:AA877"/>
  <sheetViews>
    <sheetView tabSelected="1" topLeftCell="B1" zoomScale="70" zoomScaleNormal="70" workbookViewId="0">
      <pane ySplit="1" topLeftCell="A2" activePane="bottomLeft" state="frozen"/>
      <selection pane="bottomLeft" activeCell="E313" sqref="E313"/>
    </sheetView>
  </sheetViews>
  <sheetFormatPr baseColWidth="10" defaultColWidth="16.42578125" defaultRowHeight="15" customHeight="1" x14ac:dyDescent="0.2"/>
  <cols>
    <col min="1" max="1" width="16.42578125" style="55"/>
    <col min="2" max="2" width="7.85546875" style="55" customWidth="1"/>
    <col min="3" max="3" width="51.85546875" style="56" customWidth="1"/>
    <col min="4" max="4" width="23.85546875" style="56" customWidth="1"/>
    <col min="5" max="5" width="23.140625" style="57" customWidth="1"/>
    <col min="6" max="6" width="24" style="57" customWidth="1"/>
    <col min="7" max="7" width="23.140625" style="57" customWidth="1"/>
    <col min="8" max="8" width="45.7109375" style="58" customWidth="1"/>
    <col min="9" max="9" width="139.42578125" style="59" customWidth="1"/>
    <col min="10" max="10" width="16.7109375" style="52" customWidth="1"/>
    <col min="11" max="11" width="17.85546875" style="52" customWidth="1"/>
    <col min="12" max="12" width="15" style="52" customWidth="1"/>
    <col min="13" max="13" width="17.140625" style="55" customWidth="1"/>
    <col min="14" max="14" width="26.42578125" style="55" customWidth="1"/>
    <col min="15" max="15" width="58.5703125" style="52" customWidth="1"/>
    <col min="16" max="16" width="19.5703125" style="52" customWidth="1"/>
    <col min="17" max="17" width="23.5703125" style="57" customWidth="1"/>
    <col min="18" max="18" width="34.42578125" style="57" customWidth="1"/>
    <col min="19" max="19" width="21.28515625" style="55" customWidth="1"/>
    <col min="20" max="20" width="19.5703125" style="55" customWidth="1"/>
    <col min="21" max="21" width="45.85546875" style="52" customWidth="1"/>
    <col min="22" max="22" width="18.42578125" style="55" customWidth="1"/>
    <col min="23" max="23" width="24.85546875" style="52" customWidth="1"/>
    <col min="24" max="24" width="31.85546875" style="56" customWidth="1"/>
    <col min="25" max="25" width="32.7109375" style="55" customWidth="1"/>
    <col min="26" max="26" width="44.42578125" style="56" customWidth="1"/>
    <col min="27" max="46" width="10.42578125" style="52" customWidth="1"/>
    <col min="47" max="16384" width="16.42578125" style="52"/>
  </cols>
  <sheetData>
    <row r="4" spans="1:26" ht="19.5" customHeight="1" x14ac:dyDescent="0.2">
      <c r="A4" s="260"/>
      <c r="B4" s="219"/>
      <c r="C4" s="220"/>
      <c r="D4" s="220"/>
      <c r="E4" s="221"/>
      <c r="F4" s="221"/>
      <c r="G4" s="221"/>
      <c r="H4" s="222"/>
      <c r="I4" s="223"/>
      <c r="J4" s="224"/>
      <c r="K4" s="224"/>
      <c r="L4" s="224"/>
      <c r="M4" s="219" t="s">
        <v>22</v>
      </c>
      <c r="N4" s="219"/>
      <c r="O4" s="224" t="s">
        <v>22</v>
      </c>
      <c r="P4" s="224" t="s">
        <v>22</v>
      </c>
      <c r="Q4" s="221" t="s">
        <v>22</v>
      </c>
      <c r="R4" s="221" t="s">
        <v>22</v>
      </c>
      <c r="S4" s="219"/>
      <c r="T4" s="219" t="s">
        <v>22</v>
      </c>
      <c r="U4" s="224" t="s">
        <v>22</v>
      </c>
      <c r="V4" s="219" t="s">
        <v>22</v>
      </c>
      <c r="W4" s="224" t="s">
        <v>22</v>
      </c>
      <c r="X4" s="220"/>
      <c r="Y4" s="219"/>
      <c r="Z4" s="220"/>
    </row>
    <row r="5" spans="1:26" s="60" customFormat="1" ht="86.25" customHeight="1" x14ac:dyDescent="0.2">
      <c r="A5" s="227" t="s">
        <v>23</v>
      </c>
      <c r="B5" s="227" t="s">
        <v>24</v>
      </c>
      <c r="C5" s="227" t="s">
        <v>25</v>
      </c>
      <c r="D5" s="227" t="s">
        <v>26</v>
      </c>
      <c r="E5" s="261" t="s">
        <v>27</v>
      </c>
      <c r="F5" s="262"/>
      <c r="G5" s="263"/>
      <c r="H5" s="225" t="s">
        <v>28</v>
      </c>
      <c r="I5" s="226" t="s">
        <v>29</v>
      </c>
      <c r="J5" s="227" t="s">
        <v>30</v>
      </c>
      <c r="K5" s="227" t="s">
        <v>31</v>
      </c>
      <c r="L5" s="227" t="s">
        <v>32</v>
      </c>
      <c r="M5" s="227" t="s">
        <v>33</v>
      </c>
      <c r="N5" s="227" t="s">
        <v>34</v>
      </c>
      <c r="O5" s="227" t="s">
        <v>35</v>
      </c>
      <c r="P5" s="227" t="s">
        <v>36</v>
      </c>
      <c r="Q5" s="228" t="s">
        <v>37</v>
      </c>
      <c r="R5" s="228" t="s">
        <v>38</v>
      </c>
      <c r="S5" s="227" t="s">
        <v>39</v>
      </c>
      <c r="T5" s="227" t="s">
        <v>40</v>
      </c>
      <c r="U5" s="227" t="s">
        <v>41</v>
      </c>
      <c r="V5" s="227" t="s">
        <v>42</v>
      </c>
      <c r="W5" s="227" t="s">
        <v>43</v>
      </c>
      <c r="X5" s="227" t="s">
        <v>44</v>
      </c>
      <c r="Y5" s="229" t="s">
        <v>45</v>
      </c>
      <c r="Z5" s="230" t="s">
        <v>46</v>
      </c>
    </row>
    <row r="6" spans="1:26" s="60" customFormat="1" ht="60.75" hidden="1" customHeight="1" x14ac:dyDescent="0.2">
      <c r="A6" s="204"/>
      <c r="B6" s="204"/>
      <c r="C6" s="204"/>
      <c r="D6" s="204"/>
      <c r="E6" s="53" t="s">
        <v>47</v>
      </c>
      <c r="F6" s="54" t="s">
        <v>48</v>
      </c>
      <c r="G6" s="54" t="s">
        <v>49</v>
      </c>
      <c r="H6" s="205"/>
      <c r="I6" s="206"/>
      <c r="J6" s="201"/>
      <c r="K6" s="201"/>
      <c r="L6" s="201"/>
      <c r="M6" s="201"/>
      <c r="N6" s="201"/>
      <c r="O6" s="201"/>
      <c r="P6" s="201"/>
      <c r="Q6" s="202"/>
      <c r="R6" s="202"/>
      <c r="S6" s="201"/>
      <c r="T6" s="201"/>
      <c r="U6" s="201"/>
      <c r="V6" s="201"/>
      <c r="W6" s="201"/>
      <c r="X6" s="201"/>
      <c r="Y6" s="203"/>
      <c r="Z6" s="200"/>
    </row>
    <row r="7" spans="1:26" s="5" customFormat="1" ht="12.75" hidden="1" customHeight="1" x14ac:dyDescent="0.2">
      <c r="A7" s="90" t="s">
        <v>50</v>
      </c>
      <c r="B7" s="91">
        <v>1</v>
      </c>
      <c r="C7" s="92" t="s">
        <v>51</v>
      </c>
      <c r="D7" s="92" t="s">
        <v>52</v>
      </c>
      <c r="E7" s="93"/>
      <c r="F7" s="93">
        <f>1337212800+52917202+137600669</f>
        <v>1527730671</v>
      </c>
      <c r="G7" s="93"/>
      <c r="H7" s="94">
        <v>80111600</v>
      </c>
      <c r="I7" s="76" t="s">
        <v>53</v>
      </c>
      <c r="J7" s="95">
        <v>1</v>
      </c>
      <c r="K7" s="96">
        <v>1</v>
      </c>
      <c r="L7" s="97">
        <v>12</v>
      </c>
      <c r="M7" s="91">
        <f t="shared" ref="M7:M54" si="0">IF(ISBLANK(J7),"",1)</f>
        <v>1</v>
      </c>
      <c r="N7" s="98" t="s">
        <v>54</v>
      </c>
      <c r="O7" s="99" t="s">
        <v>55</v>
      </c>
      <c r="P7" s="100">
        <f t="shared" ref="P7:P54" si="1">IF(ISBLANK(N7),"",1)</f>
        <v>1</v>
      </c>
      <c r="Q7" s="101">
        <f t="shared" ref="Q7:Q45" si="2">+E7+F7+G7</f>
        <v>1527730671</v>
      </c>
      <c r="R7" s="101">
        <f t="shared" ref="R7:R45" si="3">+F7</f>
        <v>1527730671</v>
      </c>
      <c r="S7" s="102" t="s">
        <v>56</v>
      </c>
      <c r="T7" s="98">
        <f t="shared" ref="T7:T54" si="4">IF(ISBLANK(S7),"",IF(VALUE(S7)=0,0,IF(VALUE(S7)=1,3,"")))</f>
        <v>0</v>
      </c>
      <c r="U7" s="27" t="str">
        <f t="shared" ref="U7:U54" si="5">IF(ISBLANK(N7),"","SUBDIRECCION DE GESTION CONTRACTUAL")</f>
        <v>SUBDIRECCION DE GESTION CONTRACTUAL</v>
      </c>
      <c r="V7" s="91" t="str">
        <f t="shared" ref="V7:V54" si="6">IF(ISBLANK(N7),"","CO-DC")</f>
        <v>CO-DC</v>
      </c>
      <c r="W7" s="27" t="str">
        <f t="shared" ref="W7:W54" si="7">IF(ISBLANK(N7),"","Distrito Capital de Bogotá")</f>
        <v>Distrito Capital de Bogotá</v>
      </c>
      <c r="X7" s="103" t="s">
        <v>57</v>
      </c>
      <c r="Y7" s="104">
        <v>2427400</v>
      </c>
      <c r="Z7" s="105" t="s">
        <v>58</v>
      </c>
    </row>
    <row r="8" spans="1:26" s="5" customFormat="1" ht="12.75" hidden="1" customHeight="1" x14ac:dyDescent="0.2">
      <c r="A8" s="90" t="s">
        <v>50</v>
      </c>
      <c r="B8" s="91">
        <v>2</v>
      </c>
      <c r="C8" s="92" t="s">
        <v>51</v>
      </c>
      <c r="D8" s="92" t="s">
        <v>52</v>
      </c>
      <c r="E8" s="93"/>
      <c r="F8" s="93">
        <f>1150688000+51068667+102180001</f>
        <v>1303936668</v>
      </c>
      <c r="G8" s="93"/>
      <c r="H8" s="94">
        <v>80111600</v>
      </c>
      <c r="I8" s="76" t="s">
        <v>53</v>
      </c>
      <c r="J8" s="95">
        <v>1</v>
      </c>
      <c r="K8" s="96">
        <v>1</v>
      </c>
      <c r="L8" s="97">
        <v>12</v>
      </c>
      <c r="M8" s="91">
        <f t="shared" si="0"/>
        <v>1</v>
      </c>
      <c r="N8" s="98" t="s">
        <v>54</v>
      </c>
      <c r="O8" s="99" t="s">
        <v>55</v>
      </c>
      <c r="P8" s="100">
        <f t="shared" si="1"/>
        <v>1</v>
      </c>
      <c r="Q8" s="101">
        <f t="shared" si="2"/>
        <v>1303936668</v>
      </c>
      <c r="R8" s="101">
        <f t="shared" si="3"/>
        <v>1303936668</v>
      </c>
      <c r="S8" s="102" t="s">
        <v>56</v>
      </c>
      <c r="T8" s="98">
        <f t="shared" si="4"/>
        <v>0</v>
      </c>
      <c r="U8" s="27" t="str">
        <f t="shared" si="5"/>
        <v>SUBDIRECCION DE GESTION CONTRACTUAL</v>
      </c>
      <c r="V8" s="91" t="str">
        <f t="shared" si="6"/>
        <v>CO-DC</v>
      </c>
      <c r="W8" s="27" t="str">
        <f t="shared" si="7"/>
        <v>Distrito Capital de Bogotá</v>
      </c>
      <c r="X8" s="103" t="s">
        <v>57</v>
      </c>
      <c r="Y8" s="91">
        <v>2427381</v>
      </c>
      <c r="Z8" s="105" t="s">
        <v>58</v>
      </c>
    </row>
    <row r="9" spans="1:26" s="5" customFormat="1" ht="12.75" hidden="1" customHeight="1" thickBot="1" x14ac:dyDescent="0.25">
      <c r="A9" s="90" t="s">
        <v>50</v>
      </c>
      <c r="B9" s="91">
        <v>3</v>
      </c>
      <c r="C9" s="92" t="s">
        <v>51</v>
      </c>
      <c r="D9" s="92" t="s">
        <v>52</v>
      </c>
      <c r="E9" s="93"/>
      <c r="F9" s="93">
        <v>136434513</v>
      </c>
      <c r="G9" s="93"/>
      <c r="H9" s="94" t="s">
        <v>59</v>
      </c>
      <c r="I9" s="76" t="s">
        <v>60</v>
      </c>
      <c r="J9" s="95">
        <v>3</v>
      </c>
      <c r="K9" s="96">
        <v>4</v>
      </c>
      <c r="L9" s="97">
        <v>9</v>
      </c>
      <c r="M9" s="91">
        <f t="shared" si="0"/>
        <v>1</v>
      </c>
      <c r="N9" s="98" t="s">
        <v>61</v>
      </c>
      <c r="O9" s="99" t="s">
        <v>62</v>
      </c>
      <c r="P9" s="100">
        <f t="shared" si="1"/>
        <v>1</v>
      </c>
      <c r="Q9" s="101">
        <f t="shared" si="2"/>
        <v>136434513</v>
      </c>
      <c r="R9" s="101">
        <f t="shared" si="3"/>
        <v>136434513</v>
      </c>
      <c r="S9" s="102" t="s">
        <v>56</v>
      </c>
      <c r="T9" s="98">
        <f t="shared" si="4"/>
        <v>0</v>
      </c>
      <c r="U9" s="27" t="str">
        <f t="shared" si="5"/>
        <v>SUBDIRECCION DE GESTION CONTRACTUAL</v>
      </c>
      <c r="V9" s="91" t="str">
        <f t="shared" si="6"/>
        <v>CO-DC</v>
      </c>
      <c r="W9" s="27" t="str">
        <f t="shared" si="7"/>
        <v>Distrito Capital de Bogotá</v>
      </c>
      <c r="X9" s="103" t="s">
        <v>57</v>
      </c>
      <c r="Y9" s="91">
        <v>2427382</v>
      </c>
      <c r="Z9" s="105" t="s">
        <v>58</v>
      </c>
    </row>
    <row r="10" spans="1:26" s="5" customFormat="1" ht="12.75" hidden="1" customHeight="1" x14ac:dyDescent="0.25">
      <c r="A10" s="106" t="s">
        <v>50</v>
      </c>
      <c r="B10" s="107">
        <v>4</v>
      </c>
      <c r="C10" s="108" t="s">
        <v>51</v>
      </c>
      <c r="D10" s="108" t="s">
        <v>52</v>
      </c>
      <c r="E10" s="109"/>
      <c r="F10" s="109">
        <v>1200000000</v>
      </c>
      <c r="G10" s="109"/>
      <c r="H10" s="110">
        <v>80101509</v>
      </c>
      <c r="I10" s="111" t="s">
        <v>63</v>
      </c>
      <c r="J10" s="112">
        <v>3</v>
      </c>
      <c r="K10" s="113">
        <v>4</v>
      </c>
      <c r="L10" s="114">
        <v>6</v>
      </c>
      <c r="M10" s="107">
        <f t="shared" si="0"/>
        <v>1</v>
      </c>
      <c r="N10" s="115" t="s">
        <v>64</v>
      </c>
      <c r="O10" s="116" t="s">
        <v>65</v>
      </c>
      <c r="P10" s="117">
        <f t="shared" si="1"/>
        <v>1</v>
      </c>
      <c r="Q10" s="118">
        <f t="shared" si="2"/>
        <v>1200000000</v>
      </c>
      <c r="R10" s="118">
        <f t="shared" si="3"/>
        <v>1200000000</v>
      </c>
      <c r="S10" s="119" t="s">
        <v>56</v>
      </c>
      <c r="T10" s="115">
        <f t="shared" si="4"/>
        <v>0</v>
      </c>
      <c r="U10" s="120" t="str">
        <f t="shared" si="5"/>
        <v>SUBDIRECCION DE GESTION CONTRACTUAL</v>
      </c>
      <c r="V10" s="107" t="str">
        <f t="shared" si="6"/>
        <v>CO-DC</v>
      </c>
      <c r="W10" s="120" t="str">
        <f t="shared" si="7"/>
        <v>Distrito Capital de Bogotá</v>
      </c>
      <c r="X10" s="121" t="s">
        <v>57</v>
      </c>
      <c r="Y10" s="107">
        <v>2427383</v>
      </c>
      <c r="Z10" s="122" t="s">
        <v>58</v>
      </c>
    </row>
    <row r="11" spans="1:26" s="5" customFormat="1" ht="12.75" hidden="1" customHeight="1" x14ac:dyDescent="0.2">
      <c r="A11" s="90" t="s">
        <v>50</v>
      </c>
      <c r="B11" s="91">
        <v>5</v>
      </c>
      <c r="C11" s="92" t="s">
        <v>66</v>
      </c>
      <c r="D11" s="92" t="s">
        <v>52</v>
      </c>
      <c r="E11" s="93"/>
      <c r="F11" s="93">
        <f>2584736000+189104001+228637335</f>
        <v>3002477336</v>
      </c>
      <c r="G11" s="93"/>
      <c r="H11" s="94">
        <v>80111600</v>
      </c>
      <c r="I11" s="76" t="s">
        <v>53</v>
      </c>
      <c r="J11" s="95">
        <v>1</v>
      </c>
      <c r="K11" s="96">
        <v>1</v>
      </c>
      <c r="L11" s="97">
        <v>12</v>
      </c>
      <c r="M11" s="91">
        <f t="shared" si="0"/>
        <v>1</v>
      </c>
      <c r="N11" s="98" t="s">
        <v>54</v>
      </c>
      <c r="O11" s="99" t="s">
        <v>55</v>
      </c>
      <c r="P11" s="100">
        <f t="shared" si="1"/>
        <v>1</v>
      </c>
      <c r="Q11" s="101">
        <f t="shared" si="2"/>
        <v>3002477336</v>
      </c>
      <c r="R11" s="101">
        <f t="shared" si="3"/>
        <v>3002477336</v>
      </c>
      <c r="S11" s="102" t="s">
        <v>56</v>
      </c>
      <c r="T11" s="98">
        <f t="shared" si="4"/>
        <v>0</v>
      </c>
      <c r="U11" s="27" t="str">
        <f t="shared" si="5"/>
        <v>SUBDIRECCION DE GESTION CONTRACTUAL</v>
      </c>
      <c r="V11" s="91" t="str">
        <f t="shared" si="6"/>
        <v>CO-DC</v>
      </c>
      <c r="W11" s="27" t="str">
        <f t="shared" si="7"/>
        <v>Distrito Capital de Bogotá</v>
      </c>
      <c r="X11" s="103" t="s">
        <v>57</v>
      </c>
      <c r="Y11" s="91">
        <v>2427384</v>
      </c>
      <c r="Z11" s="105" t="s">
        <v>58</v>
      </c>
    </row>
    <row r="12" spans="1:26" s="5" customFormat="1" ht="12.75" hidden="1" customHeight="1" x14ac:dyDescent="0.2">
      <c r="A12" s="90" t="s">
        <v>50</v>
      </c>
      <c r="B12" s="91">
        <v>6</v>
      </c>
      <c r="C12" s="92" t="s">
        <v>66</v>
      </c>
      <c r="D12" s="92" t="s">
        <v>52</v>
      </c>
      <c r="E12" s="93"/>
      <c r="F12" s="93">
        <f>2277330194-110668189+170496667</f>
        <v>2337158672</v>
      </c>
      <c r="G12" s="93"/>
      <c r="H12" s="94">
        <v>80111600</v>
      </c>
      <c r="I12" s="76" t="s">
        <v>53</v>
      </c>
      <c r="J12" s="95">
        <v>1</v>
      </c>
      <c r="K12" s="96">
        <v>1</v>
      </c>
      <c r="L12" s="97">
        <v>12</v>
      </c>
      <c r="M12" s="91">
        <f t="shared" si="0"/>
        <v>1</v>
      </c>
      <c r="N12" s="98" t="s">
        <v>54</v>
      </c>
      <c r="O12" s="99" t="s">
        <v>55</v>
      </c>
      <c r="P12" s="100">
        <f t="shared" si="1"/>
        <v>1</v>
      </c>
      <c r="Q12" s="101">
        <f t="shared" si="2"/>
        <v>2337158672</v>
      </c>
      <c r="R12" s="101">
        <f t="shared" si="3"/>
        <v>2337158672</v>
      </c>
      <c r="S12" s="102" t="s">
        <v>56</v>
      </c>
      <c r="T12" s="98">
        <f t="shared" si="4"/>
        <v>0</v>
      </c>
      <c r="U12" s="27" t="str">
        <f t="shared" si="5"/>
        <v>SUBDIRECCION DE GESTION CONTRACTUAL</v>
      </c>
      <c r="V12" s="91" t="str">
        <f t="shared" si="6"/>
        <v>CO-DC</v>
      </c>
      <c r="W12" s="27" t="str">
        <f t="shared" si="7"/>
        <v>Distrito Capital de Bogotá</v>
      </c>
      <c r="X12" s="103" t="s">
        <v>57</v>
      </c>
      <c r="Y12" s="91">
        <v>2427385</v>
      </c>
      <c r="Z12" s="105" t="s">
        <v>58</v>
      </c>
    </row>
    <row r="13" spans="1:26" s="5" customFormat="1" ht="12.75" hidden="1" customHeight="1" x14ac:dyDescent="0.2">
      <c r="A13" s="90" t="s">
        <v>50</v>
      </c>
      <c r="B13" s="91">
        <v>7</v>
      </c>
      <c r="C13" s="92" t="s">
        <v>66</v>
      </c>
      <c r="D13" s="92" t="s">
        <v>52</v>
      </c>
      <c r="E13" s="93"/>
      <c r="F13" s="93">
        <f>586432000+219700000-374082000+301210000</f>
        <v>733260000</v>
      </c>
      <c r="G13" s="93"/>
      <c r="H13" s="94">
        <v>80111600</v>
      </c>
      <c r="I13" s="76" t="s">
        <v>53</v>
      </c>
      <c r="J13" s="95">
        <v>1</v>
      </c>
      <c r="K13" s="96">
        <v>1</v>
      </c>
      <c r="L13" s="97">
        <v>12</v>
      </c>
      <c r="M13" s="91">
        <f t="shared" si="0"/>
        <v>1</v>
      </c>
      <c r="N13" s="98" t="s">
        <v>54</v>
      </c>
      <c r="O13" s="99" t="s">
        <v>55</v>
      </c>
      <c r="P13" s="100">
        <f t="shared" si="1"/>
        <v>1</v>
      </c>
      <c r="Q13" s="101">
        <f t="shared" si="2"/>
        <v>733260000</v>
      </c>
      <c r="R13" s="101">
        <f t="shared" si="3"/>
        <v>733260000</v>
      </c>
      <c r="S13" s="102" t="s">
        <v>56</v>
      </c>
      <c r="T13" s="98">
        <f t="shared" si="4"/>
        <v>0</v>
      </c>
      <c r="U13" s="27" t="str">
        <f t="shared" si="5"/>
        <v>SUBDIRECCION DE GESTION CONTRACTUAL</v>
      </c>
      <c r="V13" s="91" t="str">
        <f t="shared" si="6"/>
        <v>CO-DC</v>
      </c>
      <c r="W13" s="27" t="str">
        <f t="shared" si="7"/>
        <v>Distrito Capital de Bogotá</v>
      </c>
      <c r="X13" s="103" t="s">
        <v>57</v>
      </c>
      <c r="Y13" s="91">
        <v>2427386</v>
      </c>
      <c r="Z13" s="105" t="s">
        <v>58</v>
      </c>
    </row>
    <row r="14" spans="1:26" s="5" customFormat="1" ht="12.75" hidden="1" customHeight="1" x14ac:dyDescent="0.2">
      <c r="A14" s="90" t="s">
        <v>50</v>
      </c>
      <c r="B14" s="91">
        <v>8</v>
      </c>
      <c r="C14" s="92" t="s">
        <v>66</v>
      </c>
      <c r="D14" s="92" t="s">
        <v>52</v>
      </c>
      <c r="E14" s="93">
        <v>371842677</v>
      </c>
      <c r="F14" s="93">
        <f>1778365240+1363958-70000000-572015478</f>
        <v>1137713720</v>
      </c>
      <c r="G14" s="93"/>
      <c r="H14" s="94" t="s">
        <v>59</v>
      </c>
      <c r="I14" s="76" t="s">
        <v>60</v>
      </c>
      <c r="J14" s="95">
        <v>3</v>
      </c>
      <c r="K14" s="96">
        <v>4</v>
      </c>
      <c r="L14" s="97">
        <v>9</v>
      </c>
      <c r="M14" s="91">
        <f t="shared" si="0"/>
        <v>1</v>
      </c>
      <c r="N14" s="98" t="s">
        <v>61</v>
      </c>
      <c r="O14" s="99" t="s">
        <v>62</v>
      </c>
      <c r="P14" s="100">
        <f t="shared" si="1"/>
        <v>1</v>
      </c>
      <c r="Q14" s="101">
        <f t="shared" si="2"/>
        <v>1509556397</v>
      </c>
      <c r="R14" s="101">
        <f t="shared" si="3"/>
        <v>1137713720</v>
      </c>
      <c r="S14" s="102" t="s">
        <v>56</v>
      </c>
      <c r="T14" s="98">
        <f t="shared" si="4"/>
        <v>0</v>
      </c>
      <c r="U14" s="27" t="str">
        <f t="shared" si="5"/>
        <v>SUBDIRECCION DE GESTION CONTRACTUAL</v>
      </c>
      <c r="V14" s="91" t="str">
        <f t="shared" si="6"/>
        <v>CO-DC</v>
      </c>
      <c r="W14" s="27" t="str">
        <f t="shared" si="7"/>
        <v>Distrito Capital de Bogotá</v>
      </c>
      <c r="X14" s="103" t="s">
        <v>57</v>
      </c>
      <c r="Y14" s="91">
        <v>2427387</v>
      </c>
      <c r="Z14" s="105" t="s">
        <v>58</v>
      </c>
    </row>
    <row r="15" spans="1:26" s="5" customFormat="1" ht="12.75" hidden="1" customHeight="1" x14ac:dyDescent="0.25">
      <c r="A15" s="90" t="s">
        <v>50</v>
      </c>
      <c r="B15" s="91">
        <v>9</v>
      </c>
      <c r="C15" s="92" t="s">
        <v>66</v>
      </c>
      <c r="D15" s="92" t="s">
        <v>52</v>
      </c>
      <c r="E15" s="93"/>
      <c r="F15" s="93">
        <v>600000000</v>
      </c>
      <c r="G15" s="93"/>
      <c r="H15" s="94">
        <v>80101509</v>
      </c>
      <c r="I15" s="123" t="s">
        <v>63</v>
      </c>
      <c r="J15" s="104">
        <v>3</v>
      </c>
      <c r="K15" s="104">
        <v>4</v>
      </c>
      <c r="L15" s="97">
        <v>6</v>
      </c>
      <c r="M15" s="91">
        <f t="shared" si="0"/>
        <v>1</v>
      </c>
      <c r="N15" s="98" t="s">
        <v>64</v>
      </c>
      <c r="O15" s="99" t="s">
        <v>65</v>
      </c>
      <c r="P15" s="100">
        <f t="shared" si="1"/>
        <v>1</v>
      </c>
      <c r="Q15" s="101">
        <f t="shared" si="2"/>
        <v>600000000</v>
      </c>
      <c r="R15" s="101">
        <f t="shared" si="3"/>
        <v>600000000</v>
      </c>
      <c r="S15" s="102" t="s">
        <v>56</v>
      </c>
      <c r="T15" s="98">
        <f t="shared" si="4"/>
        <v>0</v>
      </c>
      <c r="U15" s="27" t="str">
        <f t="shared" si="5"/>
        <v>SUBDIRECCION DE GESTION CONTRACTUAL</v>
      </c>
      <c r="V15" s="91" t="str">
        <f t="shared" si="6"/>
        <v>CO-DC</v>
      </c>
      <c r="W15" s="27" t="str">
        <f t="shared" si="7"/>
        <v>Distrito Capital de Bogotá</v>
      </c>
      <c r="X15" s="103" t="s">
        <v>57</v>
      </c>
      <c r="Y15" s="91">
        <v>2427388</v>
      </c>
      <c r="Z15" s="105" t="s">
        <v>58</v>
      </c>
    </row>
    <row r="16" spans="1:26" s="5" customFormat="1" ht="12.75" hidden="1" customHeight="1" x14ac:dyDescent="0.2">
      <c r="A16" s="90" t="s">
        <v>50</v>
      </c>
      <c r="B16" s="91">
        <v>10</v>
      </c>
      <c r="C16" s="92" t="s">
        <v>66</v>
      </c>
      <c r="D16" s="92" t="s">
        <v>52</v>
      </c>
      <c r="E16" s="93"/>
      <c r="F16" s="93">
        <f>2000000000-1200000000+1200000000</f>
        <v>2000000000</v>
      </c>
      <c r="G16" s="93"/>
      <c r="H16" s="94" t="s">
        <v>67</v>
      </c>
      <c r="I16" s="76" t="s">
        <v>68</v>
      </c>
      <c r="J16" s="124">
        <v>2</v>
      </c>
      <c r="K16" s="124">
        <v>3</v>
      </c>
      <c r="L16" s="124">
        <v>9</v>
      </c>
      <c r="M16" s="91">
        <f t="shared" si="0"/>
        <v>1</v>
      </c>
      <c r="N16" s="98" t="s">
        <v>69</v>
      </c>
      <c r="O16" s="99" t="s">
        <v>70</v>
      </c>
      <c r="P16" s="100">
        <f t="shared" si="1"/>
        <v>1</v>
      </c>
      <c r="Q16" s="101">
        <f t="shared" si="2"/>
        <v>2000000000</v>
      </c>
      <c r="R16" s="101">
        <f t="shared" si="3"/>
        <v>2000000000</v>
      </c>
      <c r="S16" s="102" t="s">
        <v>56</v>
      </c>
      <c r="T16" s="98">
        <f t="shared" si="4"/>
        <v>0</v>
      </c>
      <c r="U16" s="27" t="str">
        <f t="shared" si="5"/>
        <v>SUBDIRECCION DE GESTION CONTRACTUAL</v>
      </c>
      <c r="V16" s="91" t="str">
        <f t="shared" si="6"/>
        <v>CO-DC</v>
      </c>
      <c r="W16" s="27" t="str">
        <f t="shared" si="7"/>
        <v>Distrito Capital de Bogotá</v>
      </c>
      <c r="X16" s="103" t="s">
        <v>57</v>
      </c>
      <c r="Y16" s="91">
        <v>2427389</v>
      </c>
      <c r="Z16" s="105" t="s">
        <v>58</v>
      </c>
    </row>
    <row r="17" spans="1:26" s="5" customFormat="1" ht="12.75" hidden="1" customHeight="1" x14ac:dyDescent="0.2">
      <c r="A17" s="90" t="s">
        <v>50</v>
      </c>
      <c r="B17" s="91">
        <v>11</v>
      </c>
      <c r="C17" s="92" t="s">
        <v>66</v>
      </c>
      <c r="D17" s="92" t="s">
        <v>52</v>
      </c>
      <c r="E17" s="93"/>
      <c r="F17" s="93">
        <v>700000000</v>
      </c>
      <c r="G17" s="93"/>
      <c r="H17" s="94" t="s">
        <v>71</v>
      </c>
      <c r="I17" s="76" t="s">
        <v>72</v>
      </c>
      <c r="J17" s="95">
        <v>2</v>
      </c>
      <c r="K17" s="96">
        <v>3</v>
      </c>
      <c r="L17" s="97">
        <v>10</v>
      </c>
      <c r="M17" s="91">
        <f t="shared" si="0"/>
        <v>1</v>
      </c>
      <c r="N17" s="98" t="s">
        <v>64</v>
      </c>
      <c r="O17" s="99" t="s">
        <v>65</v>
      </c>
      <c r="P17" s="100">
        <f t="shared" si="1"/>
        <v>1</v>
      </c>
      <c r="Q17" s="101">
        <f t="shared" si="2"/>
        <v>700000000</v>
      </c>
      <c r="R17" s="101">
        <f t="shared" si="3"/>
        <v>700000000</v>
      </c>
      <c r="S17" s="102" t="s">
        <v>56</v>
      </c>
      <c r="T17" s="98">
        <f t="shared" si="4"/>
        <v>0</v>
      </c>
      <c r="U17" s="27" t="str">
        <f t="shared" si="5"/>
        <v>SUBDIRECCION DE GESTION CONTRACTUAL</v>
      </c>
      <c r="V17" s="91" t="str">
        <f t="shared" si="6"/>
        <v>CO-DC</v>
      </c>
      <c r="W17" s="27" t="str">
        <f t="shared" si="7"/>
        <v>Distrito Capital de Bogotá</v>
      </c>
      <c r="X17" s="103" t="s">
        <v>57</v>
      </c>
      <c r="Y17" s="91">
        <v>2427390</v>
      </c>
      <c r="Z17" s="105" t="s">
        <v>58</v>
      </c>
    </row>
    <row r="18" spans="1:26" s="5" customFormat="1" ht="12.75" hidden="1" customHeight="1" x14ac:dyDescent="0.2">
      <c r="A18" s="90" t="s">
        <v>50</v>
      </c>
      <c r="B18" s="91">
        <v>12</v>
      </c>
      <c r="C18" s="92" t="s">
        <v>66</v>
      </c>
      <c r="D18" s="92" t="s">
        <v>52</v>
      </c>
      <c r="E18" s="93"/>
      <c r="F18" s="93">
        <f>3147788700-2647788700-500000000+200000000-200000000</f>
        <v>0</v>
      </c>
      <c r="G18" s="93"/>
      <c r="H18" s="125" t="s">
        <v>73</v>
      </c>
      <c r="I18" s="126" t="s">
        <v>74</v>
      </c>
      <c r="J18" s="127">
        <v>7</v>
      </c>
      <c r="K18" s="104">
        <v>8</v>
      </c>
      <c r="L18" s="127">
        <v>3</v>
      </c>
      <c r="M18" s="91">
        <f t="shared" si="0"/>
        <v>1</v>
      </c>
      <c r="N18" s="98" t="s">
        <v>64</v>
      </c>
      <c r="O18" s="99" t="s">
        <v>65</v>
      </c>
      <c r="P18" s="100">
        <f t="shared" si="1"/>
        <v>1</v>
      </c>
      <c r="Q18" s="101">
        <f t="shared" si="2"/>
        <v>0</v>
      </c>
      <c r="R18" s="101">
        <f t="shared" si="3"/>
        <v>0</v>
      </c>
      <c r="S18" s="102" t="s">
        <v>56</v>
      </c>
      <c r="T18" s="98">
        <f t="shared" si="4"/>
        <v>0</v>
      </c>
      <c r="U18" s="27" t="str">
        <f t="shared" si="5"/>
        <v>SUBDIRECCION DE GESTION CONTRACTUAL</v>
      </c>
      <c r="V18" s="91" t="str">
        <f t="shared" si="6"/>
        <v>CO-DC</v>
      </c>
      <c r="W18" s="27" t="str">
        <f t="shared" si="7"/>
        <v>Distrito Capital de Bogotá</v>
      </c>
      <c r="X18" s="103" t="s">
        <v>57</v>
      </c>
      <c r="Y18" s="91">
        <v>2427391</v>
      </c>
      <c r="Z18" s="105" t="s">
        <v>58</v>
      </c>
    </row>
    <row r="19" spans="1:26" s="5" customFormat="1" ht="12.75" hidden="1" customHeight="1" x14ac:dyDescent="0.2">
      <c r="A19" s="90" t="s">
        <v>50</v>
      </c>
      <c r="B19" s="91">
        <v>13</v>
      </c>
      <c r="C19" s="128" t="s">
        <v>66</v>
      </c>
      <c r="D19" s="92" t="s">
        <v>52</v>
      </c>
      <c r="E19" s="93"/>
      <c r="F19" s="93">
        <f>2300000000+1700000000-3409527879-239472121+800000</f>
        <v>351800000</v>
      </c>
      <c r="G19" s="93"/>
      <c r="H19" s="125" t="s">
        <v>73</v>
      </c>
      <c r="I19" s="126" t="s">
        <v>75</v>
      </c>
      <c r="J19" s="104">
        <v>9</v>
      </c>
      <c r="K19" s="104">
        <v>9</v>
      </c>
      <c r="L19" s="104">
        <v>3</v>
      </c>
      <c r="M19" s="91">
        <f t="shared" si="0"/>
        <v>1</v>
      </c>
      <c r="N19" s="98" t="s">
        <v>64</v>
      </c>
      <c r="O19" s="99" t="s">
        <v>65</v>
      </c>
      <c r="P19" s="100">
        <f t="shared" si="1"/>
        <v>1</v>
      </c>
      <c r="Q19" s="101">
        <f t="shared" si="2"/>
        <v>351800000</v>
      </c>
      <c r="R19" s="101">
        <f t="shared" si="3"/>
        <v>351800000</v>
      </c>
      <c r="S19" s="102" t="s">
        <v>56</v>
      </c>
      <c r="T19" s="98">
        <f t="shared" si="4"/>
        <v>0</v>
      </c>
      <c r="U19" s="27" t="str">
        <f t="shared" si="5"/>
        <v>SUBDIRECCION DE GESTION CONTRACTUAL</v>
      </c>
      <c r="V19" s="91" t="str">
        <f t="shared" si="6"/>
        <v>CO-DC</v>
      </c>
      <c r="W19" s="27" t="str">
        <f t="shared" si="7"/>
        <v>Distrito Capital de Bogotá</v>
      </c>
      <c r="X19" s="103" t="s">
        <v>57</v>
      </c>
      <c r="Y19" s="91">
        <v>2427392</v>
      </c>
      <c r="Z19" s="105" t="s">
        <v>58</v>
      </c>
    </row>
    <row r="20" spans="1:26" s="5" customFormat="1" ht="12.75" hidden="1" customHeight="1" x14ac:dyDescent="0.2">
      <c r="A20" s="90" t="s">
        <v>50</v>
      </c>
      <c r="B20" s="91">
        <v>14</v>
      </c>
      <c r="C20" s="92" t="s">
        <v>76</v>
      </c>
      <c r="D20" s="92" t="s">
        <v>52</v>
      </c>
      <c r="E20" s="93"/>
      <c r="F20" s="93">
        <f>2200000000+1800000000-3257614639</f>
        <v>742385361</v>
      </c>
      <c r="G20" s="93"/>
      <c r="H20" s="94">
        <v>77121504</v>
      </c>
      <c r="I20" s="126" t="s">
        <v>77</v>
      </c>
      <c r="J20" s="104">
        <v>4</v>
      </c>
      <c r="K20" s="104">
        <v>5</v>
      </c>
      <c r="L20" s="104">
        <v>2</v>
      </c>
      <c r="M20" s="91">
        <f t="shared" si="0"/>
        <v>1</v>
      </c>
      <c r="N20" s="98" t="s">
        <v>64</v>
      </c>
      <c r="O20" s="99" t="s">
        <v>65</v>
      </c>
      <c r="P20" s="100">
        <f t="shared" si="1"/>
        <v>1</v>
      </c>
      <c r="Q20" s="101">
        <f t="shared" si="2"/>
        <v>742385361</v>
      </c>
      <c r="R20" s="101">
        <f t="shared" si="3"/>
        <v>742385361</v>
      </c>
      <c r="S20" s="102" t="s">
        <v>56</v>
      </c>
      <c r="T20" s="98">
        <f t="shared" si="4"/>
        <v>0</v>
      </c>
      <c r="U20" s="27" t="str">
        <f t="shared" si="5"/>
        <v>SUBDIRECCION DE GESTION CONTRACTUAL</v>
      </c>
      <c r="V20" s="91" t="str">
        <f t="shared" si="6"/>
        <v>CO-DC</v>
      </c>
      <c r="W20" s="27" t="str">
        <f t="shared" si="7"/>
        <v>Distrito Capital de Bogotá</v>
      </c>
      <c r="X20" s="103" t="s">
        <v>57</v>
      </c>
      <c r="Y20" s="91">
        <v>2427393</v>
      </c>
      <c r="Z20" s="105" t="s">
        <v>58</v>
      </c>
    </row>
    <row r="21" spans="1:26" s="61" customFormat="1" ht="13.9" hidden="1" customHeight="1" x14ac:dyDescent="0.2">
      <c r="A21" s="90" t="s">
        <v>50</v>
      </c>
      <c r="B21" s="91">
        <v>15</v>
      </c>
      <c r="C21" s="92" t="s">
        <v>76</v>
      </c>
      <c r="D21" s="92" t="s">
        <v>52</v>
      </c>
      <c r="E21" s="93"/>
      <c r="F21" s="93">
        <f>1700000000+2300000000-3485915000-514085000+16000000000</f>
        <v>16000000000</v>
      </c>
      <c r="G21" s="93"/>
      <c r="H21" s="94" t="s">
        <v>78</v>
      </c>
      <c r="I21" s="126" t="s">
        <v>79</v>
      </c>
      <c r="J21" s="104">
        <v>11</v>
      </c>
      <c r="K21" s="104">
        <v>11</v>
      </c>
      <c r="L21" s="104">
        <v>1</v>
      </c>
      <c r="M21" s="91">
        <f t="shared" si="0"/>
        <v>1</v>
      </c>
      <c r="N21" s="98" t="s">
        <v>64</v>
      </c>
      <c r="O21" s="99" t="s">
        <v>65</v>
      </c>
      <c r="P21" s="100">
        <f t="shared" si="1"/>
        <v>1</v>
      </c>
      <c r="Q21" s="101">
        <f t="shared" si="2"/>
        <v>16000000000</v>
      </c>
      <c r="R21" s="101">
        <f t="shared" si="3"/>
        <v>16000000000</v>
      </c>
      <c r="S21" s="102" t="s">
        <v>56</v>
      </c>
      <c r="T21" s="98">
        <f t="shared" si="4"/>
        <v>0</v>
      </c>
      <c r="U21" s="27" t="str">
        <f t="shared" si="5"/>
        <v>SUBDIRECCION DE GESTION CONTRACTUAL</v>
      </c>
      <c r="V21" s="91" t="str">
        <f t="shared" si="6"/>
        <v>CO-DC</v>
      </c>
      <c r="W21" s="27" t="str">
        <f t="shared" si="7"/>
        <v>Distrito Capital de Bogotá</v>
      </c>
      <c r="X21" s="103" t="s">
        <v>57</v>
      </c>
      <c r="Y21" s="91">
        <v>2427394</v>
      </c>
      <c r="Z21" s="105" t="s">
        <v>58</v>
      </c>
    </row>
    <row r="22" spans="1:26" s="5" customFormat="1" ht="12.75" hidden="1" customHeight="1" x14ac:dyDescent="0.2">
      <c r="A22" s="90" t="s">
        <v>50</v>
      </c>
      <c r="B22" s="91">
        <v>16</v>
      </c>
      <c r="C22" s="92" t="s">
        <v>66</v>
      </c>
      <c r="D22" s="92" t="s">
        <v>52</v>
      </c>
      <c r="E22" s="93"/>
      <c r="F22" s="93">
        <f>2991363958-501363958-301210000</f>
        <v>2188790000</v>
      </c>
      <c r="G22" s="93"/>
      <c r="H22" s="94" t="s">
        <v>73</v>
      </c>
      <c r="I22" s="126" t="s">
        <v>80</v>
      </c>
      <c r="J22" s="104">
        <v>3</v>
      </c>
      <c r="K22" s="104">
        <v>4</v>
      </c>
      <c r="L22" s="104">
        <v>7</v>
      </c>
      <c r="M22" s="91">
        <f t="shared" si="0"/>
        <v>1</v>
      </c>
      <c r="N22" s="98" t="s">
        <v>64</v>
      </c>
      <c r="O22" s="99" t="s">
        <v>65</v>
      </c>
      <c r="P22" s="100">
        <f t="shared" si="1"/>
        <v>1</v>
      </c>
      <c r="Q22" s="101">
        <f t="shared" si="2"/>
        <v>2188790000</v>
      </c>
      <c r="R22" s="101">
        <f t="shared" si="3"/>
        <v>2188790000</v>
      </c>
      <c r="S22" s="102" t="s">
        <v>56</v>
      </c>
      <c r="T22" s="98">
        <f t="shared" si="4"/>
        <v>0</v>
      </c>
      <c r="U22" s="27" t="str">
        <f t="shared" si="5"/>
        <v>SUBDIRECCION DE GESTION CONTRACTUAL</v>
      </c>
      <c r="V22" s="91" t="str">
        <f t="shared" si="6"/>
        <v>CO-DC</v>
      </c>
      <c r="W22" s="27" t="str">
        <f t="shared" si="7"/>
        <v>Distrito Capital de Bogotá</v>
      </c>
      <c r="X22" s="103" t="s">
        <v>57</v>
      </c>
      <c r="Y22" s="91">
        <v>2427395</v>
      </c>
      <c r="Z22" s="105" t="s">
        <v>58</v>
      </c>
    </row>
    <row r="23" spans="1:26" s="5" customFormat="1" ht="12.75" hidden="1" customHeight="1" x14ac:dyDescent="0.2">
      <c r="A23" s="90" t="s">
        <v>50</v>
      </c>
      <c r="B23" s="91">
        <v>17</v>
      </c>
      <c r="C23" s="92" t="s">
        <v>66</v>
      </c>
      <c r="D23" s="92" t="s">
        <v>52</v>
      </c>
      <c r="E23" s="93"/>
      <c r="F23" s="93">
        <f>7000000000+1200000000-6500000000</f>
        <v>1700000000</v>
      </c>
      <c r="G23" s="93"/>
      <c r="H23" s="94" t="s">
        <v>67</v>
      </c>
      <c r="I23" s="76" t="s">
        <v>68</v>
      </c>
      <c r="J23" s="124">
        <v>2</v>
      </c>
      <c r="K23" s="124">
        <v>3</v>
      </c>
      <c r="L23" s="124">
        <v>9</v>
      </c>
      <c r="M23" s="91">
        <f t="shared" si="0"/>
        <v>1</v>
      </c>
      <c r="N23" s="98" t="s">
        <v>69</v>
      </c>
      <c r="O23" s="99" t="s">
        <v>70</v>
      </c>
      <c r="P23" s="100">
        <f t="shared" si="1"/>
        <v>1</v>
      </c>
      <c r="Q23" s="101">
        <f t="shared" si="2"/>
        <v>1700000000</v>
      </c>
      <c r="R23" s="101">
        <f t="shared" si="3"/>
        <v>1700000000</v>
      </c>
      <c r="S23" s="102" t="s">
        <v>56</v>
      </c>
      <c r="T23" s="98">
        <f t="shared" si="4"/>
        <v>0</v>
      </c>
      <c r="U23" s="27" t="str">
        <f t="shared" si="5"/>
        <v>SUBDIRECCION DE GESTION CONTRACTUAL</v>
      </c>
      <c r="V23" s="91" t="str">
        <f t="shared" si="6"/>
        <v>CO-DC</v>
      </c>
      <c r="W23" s="27" t="str">
        <f t="shared" si="7"/>
        <v>Distrito Capital de Bogotá</v>
      </c>
      <c r="X23" s="103" t="s">
        <v>57</v>
      </c>
      <c r="Y23" s="91">
        <v>2427396</v>
      </c>
      <c r="Z23" s="105" t="s">
        <v>58</v>
      </c>
    </row>
    <row r="24" spans="1:26" s="61" customFormat="1" ht="13.9" hidden="1" customHeight="1" x14ac:dyDescent="0.25">
      <c r="A24" s="90" t="s">
        <v>50</v>
      </c>
      <c r="B24" s="91">
        <v>18</v>
      </c>
      <c r="C24" s="92" t="s">
        <v>76</v>
      </c>
      <c r="D24" s="92" t="s">
        <v>52</v>
      </c>
      <c r="E24" s="93"/>
      <c r="F24" s="93">
        <f>3380608000+500000000+2000000000-1230237458+715789273-259991068</f>
        <v>5106168747</v>
      </c>
      <c r="G24" s="93"/>
      <c r="H24" s="94">
        <v>80111600</v>
      </c>
      <c r="I24" s="76" t="s">
        <v>53</v>
      </c>
      <c r="J24" s="95">
        <v>1</v>
      </c>
      <c r="K24" s="96">
        <v>1</v>
      </c>
      <c r="L24" s="97">
        <v>12</v>
      </c>
      <c r="M24" s="91">
        <f t="shared" si="0"/>
        <v>1</v>
      </c>
      <c r="N24" s="98" t="s">
        <v>54</v>
      </c>
      <c r="O24" s="99" t="s">
        <v>55</v>
      </c>
      <c r="P24" s="100">
        <f t="shared" si="1"/>
        <v>1</v>
      </c>
      <c r="Q24" s="101">
        <f t="shared" si="2"/>
        <v>5106168747</v>
      </c>
      <c r="R24" s="101">
        <f t="shared" si="3"/>
        <v>5106168747</v>
      </c>
      <c r="S24" s="102" t="s">
        <v>56</v>
      </c>
      <c r="T24" s="98">
        <f t="shared" si="4"/>
        <v>0</v>
      </c>
      <c r="U24" s="27" t="str">
        <f t="shared" si="5"/>
        <v>SUBDIRECCION DE GESTION CONTRACTUAL</v>
      </c>
      <c r="V24" s="91" t="str">
        <f t="shared" si="6"/>
        <v>CO-DC</v>
      </c>
      <c r="W24" s="27" t="str">
        <f t="shared" si="7"/>
        <v>Distrito Capital de Bogotá</v>
      </c>
      <c r="X24" s="103" t="s">
        <v>57</v>
      </c>
      <c r="Y24" s="91">
        <v>2427397</v>
      </c>
      <c r="Z24" s="85" t="s">
        <v>58</v>
      </c>
    </row>
    <row r="25" spans="1:26" s="61" customFormat="1" ht="13.9" hidden="1" customHeight="1" x14ac:dyDescent="0.2">
      <c r="A25" s="90" t="s">
        <v>50</v>
      </c>
      <c r="B25" s="91">
        <v>19</v>
      </c>
      <c r="C25" s="92" t="s">
        <v>76</v>
      </c>
      <c r="D25" s="92" t="s">
        <v>52</v>
      </c>
      <c r="E25" s="93"/>
      <c r="F25" s="93">
        <f>1146049905-600000000</f>
        <v>546049905</v>
      </c>
      <c r="G25" s="93"/>
      <c r="H25" s="94" t="s">
        <v>59</v>
      </c>
      <c r="I25" s="76" t="s">
        <v>60</v>
      </c>
      <c r="J25" s="95">
        <v>3</v>
      </c>
      <c r="K25" s="96">
        <v>4</v>
      </c>
      <c r="L25" s="97">
        <v>9</v>
      </c>
      <c r="M25" s="91">
        <f t="shared" si="0"/>
        <v>1</v>
      </c>
      <c r="N25" s="98" t="s">
        <v>61</v>
      </c>
      <c r="O25" s="99" t="s">
        <v>62</v>
      </c>
      <c r="P25" s="100">
        <f t="shared" si="1"/>
        <v>1</v>
      </c>
      <c r="Q25" s="101">
        <f t="shared" si="2"/>
        <v>546049905</v>
      </c>
      <c r="R25" s="101">
        <f t="shared" si="3"/>
        <v>546049905</v>
      </c>
      <c r="S25" s="102" t="s">
        <v>56</v>
      </c>
      <c r="T25" s="98">
        <f t="shared" si="4"/>
        <v>0</v>
      </c>
      <c r="U25" s="27" t="str">
        <f t="shared" si="5"/>
        <v>SUBDIRECCION DE GESTION CONTRACTUAL</v>
      </c>
      <c r="V25" s="91" t="str">
        <f t="shared" si="6"/>
        <v>CO-DC</v>
      </c>
      <c r="W25" s="27" t="str">
        <f t="shared" si="7"/>
        <v>Distrito Capital de Bogotá</v>
      </c>
      <c r="X25" s="103" t="s">
        <v>57</v>
      </c>
      <c r="Y25" s="91">
        <v>2427398</v>
      </c>
      <c r="Z25" s="105" t="s">
        <v>58</v>
      </c>
    </row>
    <row r="26" spans="1:26" s="5" customFormat="1" ht="12.75" hidden="1" customHeight="1" x14ac:dyDescent="0.2">
      <c r="A26" s="90" t="s">
        <v>50</v>
      </c>
      <c r="B26" s="91">
        <v>20</v>
      </c>
      <c r="C26" s="92" t="s">
        <v>66</v>
      </c>
      <c r="D26" s="92" t="s">
        <v>52</v>
      </c>
      <c r="E26" s="93"/>
      <c r="F26" s="93">
        <f>1000000000-500000000+1225466250+600000000-1258596000+1033129750+900000000+1090000000</f>
        <v>4090000000</v>
      </c>
      <c r="G26" s="93"/>
      <c r="H26" s="94" t="s">
        <v>81</v>
      </c>
      <c r="I26" s="126" t="s">
        <v>82</v>
      </c>
      <c r="J26" s="104">
        <v>9</v>
      </c>
      <c r="K26" s="104">
        <v>9</v>
      </c>
      <c r="L26" s="104">
        <v>3</v>
      </c>
      <c r="M26" s="91">
        <f t="shared" si="0"/>
        <v>1</v>
      </c>
      <c r="N26" s="98" t="s">
        <v>64</v>
      </c>
      <c r="O26" s="99" t="s">
        <v>65</v>
      </c>
      <c r="P26" s="100">
        <f t="shared" si="1"/>
        <v>1</v>
      </c>
      <c r="Q26" s="101">
        <f t="shared" si="2"/>
        <v>4090000000</v>
      </c>
      <c r="R26" s="101">
        <f t="shared" si="3"/>
        <v>4090000000</v>
      </c>
      <c r="S26" s="102" t="s">
        <v>56</v>
      </c>
      <c r="T26" s="98">
        <f t="shared" si="4"/>
        <v>0</v>
      </c>
      <c r="U26" s="27" t="str">
        <f t="shared" si="5"/>
        <v>SUBDIRECCION DE GESTION CONTRACTUAL</v>
      </c>
      <c r="V26" s="91" t="str">
        <f t="shared" si="6"/>
        <v>CO-DC</v>
      </c>
      <c r="W26" s="27" t="str">
        <f t="shared" si="7"/>
        <v>Distrito Capital de Bogotá</v>
      </c>
      <c r="X26" s="103" t="s">
        <v>57</v>
      </c>
      <c r="Y26" s="91">
        <v>2427399</v>
      </c>
      <c r="Z26" s="105" t="s">
        <v>58</v>
      </c>
    </row>
    <row r="27" spans="1:26" s="61" customFormat="1" ht="13.9" hidden="1" customHeight="1" x14ac:dyDescent="0.2">
      <c r="A27" s="90" t="s">
        <v>50</v>
      </c>
      <c r="B27" s="91">
        <v>21</v>
      </c>
      <c r="C27" s="92" t="s">
        <v>76</v>
      </c>
      <c r="D27" s="92" t="s">
        <v>52</v>
      </c>
      <c r="E27" s="93"/>
      <c r="F27" s="93">
        <f>8725466250-4725466250+1258596000</f>
        <v>5258596000</v>
      </c>
      <c r="G27" s="93"/>
      <c r="H27" s="94" t="s">
        <v>73</v>
      </c>
      <c r="I27" s="126" t="s">
        <v>83</v>
      </c>
      <c r="J27" s="104">
        <v>3</v>
      </c>
      <c r="K27" s="104">
        <v>4</v>
      </c>
      <c r="L27" s="104">
        <v>5</v>
      </c>
      <c r="M27" s="91">
        <f t="shared" si="0"/>
        <v>1</v>
      </c>
      <c r="N27" s="98" t="s">
        <v>64</v>
      </c>
      <c r="O27" s="99" t="s">
        <v>65</v>
      </c>
      <c r="P27" s="100">
        <f t="shared" si="1"/>
        <v>1</v>
      </c>
      <c r="Q27" s="101">
        <f t="shared" si="2"/>
        <v>5258596000</v>
      </c>
      <c r="R27" s="101">
        <f t="shared" si="3"/>
        <v>5258596000</v>
      </c>
      <c r="S27" s="102" t="s">
        <v>56</v>
      </c>
      <c r="T27" s="98">
        <f t="shared" si="4"/>
        <v>0</v>
      </c>
      <c r="U27" s="27" t="str">
        <f t="shared" si="5"/>
        <v>SUBDIRECCION DE GESTION CONTRACTUAL</v>
      </c>
      <c r="V27" s="91" t="str">
        <f t="shared" si="6"/>
        <v>CO-DC</v>
      </c>
      <c r="W27" s="27" t="str">
        <f t="shared" si="7"/>
        <v>Distrito Capital de Bogotá</v>
      </c>
      <c r="X27" s="103" t="s">
        <v>57</v>
      </c>
      <c r="Y27" s="91">
        <v>2427400</v>
      </c>
      <c r="Z27" s="105" t="s">
        <v>58</v>
      </c>
    </row>
    <row r="28" spans="1:26" s="61" customFormat="1" ht="13.9" hidden="1" customHeight="1" x14ac:dyDescent="0.2">
      <c r="A28" s="90" t="s">
        <v>50</v>
      </c>
      <c r="B28" s="91">
        <v>22</v>
      </c>
      <c r="C28" s="92" t="s">
        <v>84</v>
      </c>
      <c r="D28" s="92" t="s">
        <v>52</v>
      </c>
      <c r="E28" s="93"/>
      <c r="F28" s="93">
        <f>712096000+749829304-68835027+21076396</f>
        <v>1414166673</v>
      </c>
      <c r="G28" s="93"/>
      <c r="H28" s="94">
        <v>80111600</v>
      </c>
      <c r="I28" s="76" t="s">
        <v>53</v>
      </c>
      <c r="J28" s="95">
        <v>1</v>
      </c>
      <c r="K28" s="96">
        <v>1</v>
      </c>
      <c r="L28" s="97">
        <v>12</v>
      </c>
      <c r="M28" s="91">
        <f t="shared" si="0"/>
        <v>1</v>
      </c>
      <c r="N28" s="98" t="s">
        <v>54</v>
      </c>
      <c r="O28" s="99" t="s">
        <v>55</v>
      </c>
      <c r="P28" s="100">
        <f t="shared" si="1"/>
        <v>1</v>
      </c>
      <c r="Q28" s="101">
        <f t="shared" si="2"/>
        <v>1414166673</v>
      </c>
      <c r="R28" s="101">
        <f t="shared" si="3"/>
        <v>1414166673</v>
      </c>
      <c r="S28" s="102" t="s">
        <v>56</v>
      </c>
      <c r="T28" s="98">
        <f t="shared" si="4"/>
        <v>0</v>
      </c>
      <c r="U28" s="27" t="str">
        <f t="shared" si="5"/>
        <v>SUBDIRECCION DE GESTION CONTRACTUAL</v>
      </c>
      <c r="V28" s="91" t="str">
        <f t="shared" si="6"/>
        <v>CO-DC</v>
      </c>
      <c r="W28" s="27" t="str">
        <f t="shared" si="7"/>
        <v>Distrito Capital de Bogotá</v>
      </c>
      <c r="X28" s="103" t="s">
        <v>57</v>
      </c>
      <c r="Y28" s="91">
        <v>2427401</v>
      </c>
      <c r="Z28" s="105" t="s">
        <v>58</v>
      </c>
    </row>
    <row r="29" spans="1:26" s="61" customFormat="1" ht="13.9" hidden="1" customHeight="1" x14ac:dyDescent="0.2">
      <c r="A29" s="90" t="s">
        <v>50</v>
      </c>
      <c r="B29" s="91">
        <v>23</v>
      </c>
      <c r="C29" s="92" t="s">
        <v>84</v>
      </c>
      <c r="D29" s="92" t="s">
        <v>52</v>
      </c>
      <c r="E29" s="93"/>
      <c r="F29" s="93">
        <f>60031186+220000000-70000000-150000000</f>
        <v>60031186</v>
      </c>
      <c r="G29" s="93"/>
      <c r="H29" s="94" t="s">
        <v>59</v>
      </c>
      <c r="I29" s="76" t="s">
        <v>60</v>
      </c>
      <c r="J29" s="95">
        <v>3</v>
      </c>
      <c r="K29" s="96">
        <v>4</v>
      </c>
      <c r="L29" s="97">
        <v>9</v>
      </c>
      <c r="M29" s="91">
        <f t="shared" si="0"/>
        <v>1</v>
      </c>
      <c r="N29" s="98" t="s">
        <v>61</v>
      </c>
      <c r="O29" s="99" t="s">
        <v>62</v>
      </c>
      <c r="P29" s="100">
        <f t="shared" si="1"/>
        <v>1</v>
      </c>
      <c r="Q29" s="101">
        <f t="shared" si="2"/>
        <v>60031186</v>
      </c>
      <c r="R29" s="101">
        <f t="shared" si="3"/>
        <v>60031186</v>
      </c>
      <c r="S29" s="102" t="s">
        <v>56</v>
      </c>
      <c r="T29" s="98">
        <f t="shared" si="4"/>
        <v>0</v>
      </c>
      <c r="U29" s="27" t="str">
        <f t="shared" si="5"/>
        <v>SUBDIRECCION DE GESTION CONTRACTUAL</v>
      </c>
      <c r="V29" s="91" t="str">
        <f t="shared" si="6"/>
        <v>CO-DC</v>
      </c>
      <c r="W29" s="27" t="str">
        <f t="shared" si="7"/>
        <v>Distrito Capital de Bogotá</v>
      </c>
      <c r="X29" s="103" t="s">
        <v>57</v>
      </c>
      <c r="Y29" s="91">
        <v>2427402</v>
      </c>
      <c r="Z29" s="105" t="s">
        <v>58</v>
      </c>
    </row>
    <row r="30" spans="1:26" s="5" customFormat="1" ht="12.75" hidden="1" customHeight="1" x14ac:dyDescent="0.2">
      <c r="A30" s="90" t="s">
        <v>50</v>
      </c>
      <c r="B30" s="91">
        <v>24</v>
      </c>
      <c r="C30" s="92" t="s">
        <v>84</v>
      </c>
      <c r="D30" s="92" t="s">
        <v>52</v>
      </c>
      <c r="E30" s="93"/>
      <c r="F30" s="93">
        <f>180000000+70000000</f>
        <v>250000000</v>
      </c>
      <c r="G30" s="93"/>
      <c r="H30" s="104" t="s">
        <v>85</v>
      </c>
      <c r="I30" s="126" t="s">
        <v>86</v>
      </c>
      <c r="J30" s="104">
        <v>11</v>
      </c>
      <c r="K30" s="104">
        <v>11</v>
      </c>
      <c r="L30" s="104">
        <v>1</v>
      </c>
      <c r="M30" s="91">
        <f t="shared" si="0"/>
        <v>1</v>
      </c>
      <c r="N30" s="98" t="s">
        <v>87</v>
      </c>
      <c r="O30" s="99" t="s">
        <v>88</v>
      </c>
      <c r="P30" s="100">
        <f t="shared" si="1"/>
        <v>1</v>
      </c>
      <c r="Q30" s="101">
        <f t="shared" si="2"/>
        <v>250000000</v>
      </c>
      <c r="R30" s="101">
        <f t="shared" si="3"/>
        <v>250000000</v>
      </c>
      <c r="S30" s="102" t="s">
        <v>56</v>
      </c>
      <c r="T30" s="98">
        <f t="shared" si="4"/>
        <v>0</v>
      </c>
      <c r="U30" s="27" t="str">
        <f t="shared" si="5"/>
        <v>SUBDIRECCION DE GESTION CONTRACTUAL</v>
      </c>
      <c r="V30" s="91" t="str">
        <f t="shared" si="6"/>
        <v>CO-DC</v>
      </c>
      <c r="W30" s="27" t="str">
        <f t="shared" si="7"/>
        <v>Distrito Capital de Bogotá</v>
      </c>
      <c r="X30" s="129" t="s">
        <v>89</v>
      </c>
      <c r="Y30" s="91">
        <v>2427400</v>
      </c>
      <c r="Z30" s="105" t="s">
        <v>90</v>
      </c>
    </row>
    <row r="31" spans="1:26" s="5" customFormat="1" ht="12.75" hidden="1" customHeight="1" x14ac:dyDescent="0.2">
      <c r="A31" s="90" t="s">
        <v>50</v>
      </c>
      <c r="B31" s="91">
        <v>25</v>
      </c>
      <c r="C31" s="92" t="s">
        <v>84</v>
      </c>
      <c r="D31" s="92" t="s">
        <v>52</v>
      </c>
      <c r="E31" s="93"/>
      <c r="F31" s="93">
        <f>820000000-130000000-70000000-20000000-600000000+200000000</f>
        <v>200000000</v>
      </c>
      <c r="G31" s="93"/>
      <c r="H31" s="130" t="s">
        <v>91</v>
      </c>
      <c r="I31" s="126" t="s">
        <v>92</v>
      </c>
      <c r="J31" s="104">
        <v>11</v>
      </c>
      <c r="K31" s="104">
        <v>11</v>
      </c>
      <c r="L31" s="104">
        <v>2</v>
      </c>
      <c r="M31" s="91">
        <f t="shared" si="0"/>
        <v>1</v>
      </c>
      <c r="N31" s="98" t="s">
        <v>87</v>
      </c>
      <c r="O31" s="99" t="s">
        <v>88</v>
      </c>
      <c r="P31" s="100">
        <f t="shared" si="1"/>
        <v>1</v>
      </c>
      <c r="Q31" s="101">
        <f t="shared" si="2"/>
        <v>200000000</v>
      </c>
      <c r="R31" s="101">
        <f t="shared" si="3"/>
        <v>200000000</v>
      </c>
      <c r="S31" s="102" t="s">
        <v>56</v>
      </c>
      <c r="T31" s="98">
        <f t="shared" si="4"/>
        <v>0</v>
      </c>
      <c r="U31" s="27" t="str">
        <f t="shared" si="5"/>
        <v>SUBDIRECCION DE GESTION CONTRACTUAL</v>
      </c>
      <c r="V31" s="91" t="str">
        <f t="shared" si="6"/>
        <v>CO-DC</v>
      </c>
      <c r="W31" s="27" t="str">
        <f t="shared" si="7"/>
        <v>Distrito Capital de Bogotá</v>
      </c>
      <c r="X31" s="103" t="s">
        <v>57</v>
      </c>
      <c r="Y31" s="91">
        <v>2427404</v>
      </c>
      <c r="Z31" s="105" t="s">
        <v>58</v>
      </c>
    </row>
    <row r="32" spans="1:26" s="61" customFormat="1" ht="13.9" hidden="1" customHeight="1" x14ac:dyDescent="0.25">
      <c r="A32" s="90" t="s">
        <v>50</v>
      </c>
      <c r="B32" s="91">
        <v>26</v>
      </c>
      <c r="C32" s="92" t="s">
        <v>84</v>
      </c>
      <c r="D32" s="92" t="s">
        <v>52</v>
      </c>
      <c r="E32" s="93"/>
      <c r="F32" s="93">
        <f>1000000000-400000000+98214241</f>
        <v>698214241</v>
      </c>
      <c r="G32" s="93"/>
      <c r="H32" s="94" t="s">
        <v>93</v>
      </c>
      <c r="I32" s="123" t="s">
        <v>94</v>
      </c>
      <c r="J32" s="104">
        <v>4</v>
      </c>
      <c r="K32" s="104">
        <v>5</v>
      </c>
      <c r="L32" s="104">
        <v>6</v>
      </c>
      <c r="M32" s="91">
        <f t="shared" si="0"/>
        <v>1</v>
      </c>
      <c r="N32" s="98" t="s">
        <v>64</v>
      </c>
      <c r="O32" s="99" t="s">
        <v>65</v>
      </c>
      <c r="P32" s="100">
        <f t="shared" si="1"/>
        <v>1</v>
      </c>
      <c r="Q32" s="101">
        <f t="shared" si="2"/>
        <v>698214241</v>
      </c>
      <c r="R32" s="101">
        <f t="shared" si="3"/>
        <v>698214241</v>
      </c>
      <c r="S32" s="102" t="s">
        <v>56</v>
      </c>
      <c r="T32" s="98">
        <f t="shared" si="4"/>
        <v>0</v>
      </c>
      <c r="U32" s="27" t="str">
        <f t="shared" si="5"/>
        <v>SUBDIRECCION DE GESTION CONTRACTUAL</v>
      </c>
      <c r="V32" s="91" t="str">
        <f t="shared" si="6"/>
        <v>CO-DC</v>
      </c>
      <c r="W32" s="27" t="str">
        <f t="shared" si="7"/>
        <v>Distrito Capital de Bogotá</v>
      </c>
      <c r="X32" s="103" t="s">
        <v>57</v>
      </c>
      <c r="Y32" s="91">
        <v>2427405</v>
      </c>
      <c r="Z32" s="105" t="s">
        <v>58</v>
      </c>
    </row>
    <row r="33" spans="1:26" s="61" customFormat="1" ht="13.9" hidden="1" customHeight="1" x14ac:dyDescent="0.2">
      <c r="A33" s="90" t="s">
        <v>50</v>
      </c>
      <c r="B33" s="91">
        <v>27</v>
      </c>
      <c r="C33" s="92" t="s">
        <v>95</v>
      </c>
      <c r="D33" s="92" t="s">
        <v>96</v>
      </c>
      <c r="E33" s="93"/>
      <c r="F33" s="93">
        <v>6740578</v>
      </c>
      <c r="G33" s="93"/>
      <c r="H33" s="94" t="s">
        <v>97</v>
      </c>
      <c r="I33" s="76" t="s">
        <v>98</v>
      </c>
      <c r="J33" s="95">
        <v>6</v>
      </c>
      <c r="K33" s="96" t="s">
        <v>99</v>
      </c>
      <c r="L33" s="97">
        <v>1</v>
      </c>
      <c r="M33" s="91">
        <f t="shared" si="0"/>
        <v>1</v>
      </c>
      <c r="N33" s="98" t="s">
        <v>100</v>
      </c>
      <c r="O33" s="99" t="s">
        <v>101</v>
      </c>
      <c r="P33" s="100">
        <f t="shared" si="1"/>
        <v>1</v>
      </c>
      <c r="Q33" s="101">
        <f t="shared" si="2"/>
        <v>6740578</v>
      </c>
      <c r="R33" s="101">
        <f t="shared" si="3"/>
        <v>6740578</v>
      </c>
      <c r="S33" s="102" t="s">
        <v>56</v>
      </c>
      <c r="T33" s="98">
        <f t="shared" si="4"/>
        <v>0</v>
      </c>
      <c r="U33" s="27" t="str">
        <f t="shared" si="5"/>
        <v>SUBDIRECCION DE GESTION CONTRACTUAL</v>
      </c>
      <c r="V33" s="91" t="str">
        <f t="shared" si="6"/>
        <v>CO-DC</v>
      </c>
      <c r="W33" s="27" t="str">
        <f t="shared" si="7"/>
        <v>Distrito Capital de Bogotá</v>
      </c>
      <c r="X33" s="103" t="s">
        <v>57</v>
      </c>
      <c r="Y33" s="91">
        <v>2427406</v>
      </c>
      <c r="Z33" s="105" t="s">
        <v>58</v>
      </c>
    </row>
    <row r="34" spans="1:26" s="5" customFormat="1" ht="12.75" hidden="1" customHeight="1" x14ac:dyDescent="0.2">
      <c r="A34" s="90" t="s">
        <v>50</v>
      </c>
      <c r="B34" s="91">
        <v>28</v>
      </c>
      <c r="C34" s="92" t="s">
        <v>95</v>
      </c>
      <c r="D34" s="92" t="s">
        <v>102</v>
      </c>
      <c r="E34" s="93"/>
      <c r="F34" s="93">
        <v>15000000</v>
      </c>
      <c r="G34" s="93"/>
      <c r="H34" s="94" t="s">
        <v>103</v>
      </c>
      <c r="I34" s="126" t="s">
        <v>104</v>
      </c>
      <c r="J34" s="104">
        <v>10</v>
      </c>
      <c r="K34" s="104">
        <v>10</v>
      </c>
      <c r="L34" s="97">
        <v>1</v>
      </c>
      <c r="M34" s="91">
        <f t="shared" si="0"/>
        <v>1</v>
      </c>
      <c r="N34" s="98" t="s">
        <v>100</v>
      </c>
      <c r="O34" s="99" t="s">
        <v>105</v>
      </c>
      <c r="P34" s="100">
        <f t="shared" si="1"/>
        <v>1</v>
      </c>
      <c r="Q34" s="101">
        <f t="shared" si="2"/>
        <v>15000000</v>
      </c>
      <c r="R34" s="101">
        <f t="shared" si="3"/>
        <v>15000000</v>
      </c>
      <c r="S34" s="102" t="s">
        <v>56</v>
      </c>
      <c r="T34" s="98">
        <f t="shared" si="4"/>
        <v>0</v>
      </c>
      <c r="U34" s="27" t="str">
        <f t="shared" si="5"/>
        <v>SUBDIRECCION DE GESTION CONTRACTUAL</v>
      </c>
      <c r="V34" s="91" t="str">
        <f t="shared" si="6"/>
        <v>CO-DC</v>
      </c>
      <c r="W34" s="27" t="str">
        <f t="shared" si="7"/>
        <v>Distrito Capital de Bogotá</v>
      </c>
      <c r="X34" s="103" t="s">
        <v>57</v>
      </c>
      <c r="Y34" s="91">
        <v>2427407</v>
      </c>
      <c r="Z34" s="105" t="s">
        <v>58</v>
      </c>
    </row>
    <row r="35" spans="1:26" s="61" customFormat="1" ht="13.9" hidden="1" customHeight="1" x14ac:dyDescent="0.2">
      <c r="A35" s="90" t="s">
        <v>50</v>
      </c>
      <c r="B35" s="91">
        <v>29</v>
      </c>
      <c r="C35" s="92" t="s">
        <v>95</v>
      </c>
      <c r="D35" s="92" t="s">
        <v>106</v>
      </c>
      <c r="E35" s="93"/>
      <c r="F35" s="93">
        <v>8000000</v>
      </c>
      <c r="G35" s="93"/>
      <c r="H35" s="94" t="s">
        <v>107</v>
      </c>
      <c r="I35" s="76" t="s">
        <v>108</v>
      </c>
      <c r="J35" s="104">
        <v>10</v>
      </c>
      <c r="K35" s="104">
        <v>10</v>
      </c>
      <c r="L35" s="104">
        <v>12</v>
      </c>
      <c r="M35" s="91">
        <f t="shared" si="0"/>
        <v>1</v>
      </c>
      <c r="N35" s="98" t="s">
        <v>87</v>
      </c>
      <c r="O35" s="99" t="s">
        <v>88</v>
      </c>
      <c r="P35" s="100">
        <f t="shared" si="1"/>
        <v>1</v>
      </c>
      <c r="Q35" s="101">
        <f t="shared" si="2"/>
        <v>8000000</v>
      </c>
      <c r="R35" s="101">
        <f t="shared" si="3"/>
        <v>8000000</v>
      </c>
      <c r="S35" s="102" t="s">
        <v>56</v>
      </c>
      <c r="T35" s="98">
        <f t="shared" si="4"/>
        <v>0</v>
      </c>
      <c r="U35" s="27" t="str">
        <f t="shared" si="5"/>
        <v>SUBDIRECCION DE GESTION CONTRACTUAL</v>
      </c>
      <c r="V35" s="91" t="str">
        <f t="shared" si="6"/>
        <v>CO-DC</v>
      </c>
      <c r="W35" s="27" t="str">
        <f t="shared" si="7"/>
        <v>Distrito Capital de Bogotá</v>
      </c>
      <c r="X35" s="103" t="s">
        <v>57</v>
      </c>
      <c r="Y35" s="91">
        <v>2427408</v>
      </c>
      <c r="Z35" s="105" t="s">
        <v>58</v>
      </c>
    </row>
    <row r="36" spans="1:26" s="61" customFormat="1" ht="13.9" hidden="1" customHeight="1" x14ac:dyDescent="0.2">
      <c r="A36" s="90" t="s">
        <v>50</v>
      </c>
      <c r="B36" s="91">
        <v>30</v>
      </c>
      <c r="C36" s="92" t="s">
        <v>95</v>
      </c>
      <c r="D36" s="92" t="s">
        <v>109</v>
      </c>
      <c r="E36" s="93"/>
      <c r="F36" s="93">
        <f>595941595-395941595+250000000</f>
        <v>450000000</v>
      </c>
      <c r="G36" s="93"/>
      <c r="H36" s="94" t="s">
        <v>67</v>
      </c>
      <c r="I36" s="76" t="s">
        <v>68</v>
      </c>
      <c r="J36" s="124">
        <v>2</v>
      </c>
      <c r="K36" s="124">
        <v>3</v>
      </c>
      <c r="L36" s="124">
        <v>9</v>
      </c>
      <c r="M36" s="91">
        <f t="shared" si="0"/>
        <v>1</v>
      </c>
      <c r="N36" s="98" t="s">
        <v>69</v>
      </c>
      <c r="O36" s="99" t="s">
        <v>70</v>
      </c>
      <c r="P36" s="100">
        <f t="shared" si="1"/>
        <v>1</v>
      </c>
      <c r="Q36" s="101">
        <f t="shared" si="2"/>
        <v>450000000</v>
      </c>
      <c r="R36" s="101">
        <f t="shared" si="3"/>
        <v>450000000</v>
      </c>
      <c r="S36" s="102" t="s">
        <v>56</v>
      </c>
      <c r="T36" s="98">
        <f t="shared" si="4"/>
        <v>0</v>
      </c>
      <c r="U36" s="27" t="str">
        <f t="shared" si="5"/>
        <v>SUBDIRECCION DE GESTION CONTRACTUAL</v>
      </c>
      <c r="V36" s="91" t="str">
        <f t="shared" si="6"/>
        <v>CO-DC</v>
      </c>
      <c r="W36" s="27" t="str">
        <f t="shared" si="7"/>
        <v>Distrito Capital de Bogotá</v>
      </c>
      <c r="X36" s="103" t="s">
        <v>57</v>
      </c>
      <c r="Y36" s="91">
        <v>2427409</v>
      </c>
      <c r="Z36" s="105" t="s">
        <v>58</v>
      </c>
    </row>
    <row r="37" spans="1:26" s="61" customFormat="1" ht="13.9" hidden="1" customHeight="1" x14ac:dyDescent="0.2">
      <c r="A37" s="90" t="s">
        <v>50</v>
      </c>
      <c r="B37" s="91">
        <v>31</v>
      </c>
      <c r="C37" s="92" t="s">
        <v>95</v>
      </c>
      <c r="D37" s="92" t="s">
        <v>110</v>
      </c>
      <c r="E37" s="93"/>
      <c r="F37" s="93">
        <f>91869000+58131000+50000000</f>
        <v>200000000</v>
      </c>
      <c r="G37" s="93"/>
      <c r="H37" s="131" t="s">
        <v>111</v>
      </c>
      <c r="I37" s="76" t="s">
        <v>112</v>
      </c>
      <c r="J37" s="104">
        <v>4</v>
      </c>
      <c r="K37" s="104">
        <v>5</v>
      </c>
      <c r="L37" s="104">
        <v>12</v>
      </c>
      <c r="M37" s="91">
        <f t="shared" si="0"/>
        <v>1</v>
      </c>
      <c r="N37" s="98" t="s">
        <v>113</v>
      </c>
      <c r="O37" s="99" t="s">
        <v>114</v>
      </c>
      <c r="P37" s="100">
        <f t="shared" si="1"/>
        <v>1</v>
      </c>
      <c r="Q37" s="101">
        <f t="shared" si="2"/>
        <v>200000000</v>
      </c>
      <c r="R37" s="101">
        <f t="shared" si="3"/>
        <v>200000000</v>
      </c>
      <c r="S37" s="102" t="s">
        <v>56</v>
      </c>
      <c r="T37" s="98">
        <f t="shared" si="4"/>
        <v>0</v>
      </c>
      <c r="U37" s="27" t="str">
        <f t="shared" si="5"/>
        <v>SUBDIRECCION DE GESTION CONTRACTUAL</v>
      </c>
      <c r="V37" s="91" t="str">
        <f t="shared" si="6"/>
        <v>CO-DC</v>
      </c>
      <c r="W37" s="27" t="str">
        <f t="shared" si="7"/>
        <v>Distrito Capital de Bogotá</v>
      </c>
      <c r="X37" s="103" t="s">
        <v>57</v>
      </c>
      <c r="Y37" s="91">
        <v>2427410</v>
      </c>
      <c r="Z37" s="105" t="s">
        <v>58</v>
      </c>
    </row>
    <row r="38" spans="1:26" s="61" customFormat="1" ht="13.9" hidden="1" customHeight="1" x14ac:dyDescent="0.2">
      <c r="A38" s="90" t="s">
        <v>50</v>
      </c>
      <c r="B38" s="91">
        <v>32</v>
      </c>
      <c r="C38" s="92" t="s">
        <v>95</v>
      </c>
      <c r="D38" s="92" t="s">
        <v>115</v>
      </c>
      <c r="E38" s="93">
        <f>186825271*3</f>
        <v>560475813</v>
      </c>
      <c r="F38" s="93">
        <f>1850447490-38641824+1</f>
        <v>1811805667</v>
      </c>
      <c r="G38" s="93"/>
      <c r="H38" s="94">
        <v>80131500</v>
      </c>
      <c r="I38" s="76" t="s">
        <v>116</v>
      </c>
      <c r="J38" s="95">
        <v>3</v>
      </c>
      <c r="K38" s="96">
        <v>3</v>
      </c>
      <c r="L38" s="97">
        <v>12</v>
      </c>
      <c r="M38" s="91">
        <f t="shared" si="0"/>
        <v>1</v>
      </c>
      <c r="N38" s="98" t="s">
        <v>64</v>
      </c>
      <c r="O38" s="99" t="s">
        <v>65</v>
      </c>
      <c r="P38" s="100">
        <f t="shared" si="1"/>
        <v>1</v>
      </c>
      <c r="Q38" s="101">
        <f t="shared" si="2"/>
        <v>2372281480</v>
      </c>
      <c r="R38" s="101">
        <f t="shared" si="3"/>
        <v>1811805667</v>
      </c>
      <c r="S38" s="102" t="s">
        <v>56</v>
      </c>
      <c r="T38" s="98">
        <f t="shared" si="4"/>
        <v>0</v>
      </c>
      <c r="U38" s="27" t="str">
        <f t="shared" si="5"/>
        <v>SUBDIRECCION DE GESTION CONTRACTUAL</v>
      </c>
      <c r="V38" s="91" t="str">
        <f t="shared" si="6"/>
        <v>CO-DC</v>
      </c>
      <c r="W38" s="27" t="str">
        <f t="shared" si="7"/>
        <v>Distrito Capital de Bogotá</v>
      </c>
      <c r="X38" s="103" t="s">
        <v>57</v>
      </c>
      <c r="Y38" s="91">
        <v>2427411</v>
      </c>
      <c r="Z38" s="105" t="s">
        <v>58</v>
      </c>
    </row>
    <row r="39" spans="1:26" s="61" customFormat="1" ht="13.9" hidden="1" customHeight="1" x14ac:dyDescent="0.2">
      <c r="A39" s="90" t="s">
        <v>50</v>
      </c>
      <c r="B39" s="91">
        <v>33</v>
      </c>
      <c r="C39" s="92" t="s">
        <v>95</v>
      </c>
      <c r="D39" s="92" t="s">
        <v>117</v>
      </c>
      <c r="E39" s="93"/>
      <c r="F39" s="93">
        <v>675136000</v>
      </c>
      <c r="G39" s="93"/>
      <c r="H39" s="94">
        <v>80111600</v>
      </c>
      <c r="I39" s="76" t="s">
        <v>53</v>
      </c>
      <c r="J39" s="95">
        <v>1</v>
      </c>
      <c r="K39" s="96">
        <v>1</v>
      </c>
      <c r="L39" s="97">
        <v>12</v>
      </c>
      <c r="M39" s="91">
        <f t="shared" si="0"/>
        <v>1</v>
      </c>
      <c r="N39" s="98" t="s">
        <v>54</v>
      </c>
      <c r="O39" s="99" t="s">
        <v>55</v>
      </c>
      <c r="P39" s="100">
        <f t="shared" si="1"/>
        <v>1</v>
      </c>
      <c r="Q39" s="101">
        <f t="shared" si="2"/>
        <v>675136000</v>
      </c>
      <c r="R39" s="101">
        <f t="shared" si="3"/>
        <v>675136000</v>
      </c>
      <c r="S39" s="102" t="s">
        <v>56</v>
      </c>
      <c r="T39" s="98">
        <f t="shared" si="4"/>
        <v>0</v>
      </c>
      <c r="U39" s="27" t="str">
        <f t="shared" si="5"/>
        <v>SUBDIRECCION DE GESTION CONTRACTUAL</v>
      </c>
      <c r="V39" s="91" t="str">
        <f t="shared" si="6"/>
        <v>CO-DC</v>
      </c>
      <c r="W39" s="27" t="str">
        <f t="shared" si="7"/>
        <v>Distrito Capital de Bogotá</v>
      </c>
      <c r="X39" s="103" t="s">
        <v>57</v>
      </c>
      <c r="Y39" s="91">
        <v>2427412</v>
      </c>
      <c r="Z39" s="105" t="s">
        <v>58</v>
      </c>
    </row>
    <row r="40" spans="1:26" s="61" customFormat="1" ht="13.9" hidden="1" customHeight="1" x14ac:dyDescent="0.25">
      <c r="A40" s="90" t="s">
        <v>50</v>
      </c>
      <c r="B40" s="91">
        <v>34</v>
      </c>
      <c r="C40" s="92" t="s">
        <v>95</v>
      </c>
      <c r="D40" s="92" t="s">
        <v>118</v>
      </c>
      <c r="E40" s="93"/>
      <c r="F40" s="93">
        <f>162041458-45041458-10000000</f>
        <v>107000000</v>
      </c>
      <c r="G40" s="93"/>
      <c r="H40" s="94" t="s">
        <v>119</v>
      </c>
      <c r="I40" s="76" t="s">
        <v>120</v>
      </c>
      <c r="J40" s="124">
        <v>6</v>
      </c>
      <c r="K40" s="124">
        <v>6</v>
      </c>
      <c r="L40" s="124">
        <v>6</v>
      </c>
      <c r="M40" s="91">
        <f t="shared" si="0"/>
        <v>1</v>
      </c>
      <c r="N40" s="98" t="s">
        <v>54</v>
      </c>
      <c r="O40" s="99" t="s">
        <v>55</v>
      </c>
      <c r="P40" s="100">
        <f t="shared" si="1"/>
        <v>1</v>
      </c>
      <c r="Q40" s="101">
        <f t="shared" si="2"/>
        <v>107000000</v>
      </c>
      <c r="R40" s="101">
        <f t="shared" si="3"/>
        <v>107000000</v>
      </c>
      <c r="S40" s="102" t="s">
        <v>56</v>
      </c>
      <c r="T40" s="98">
        <f t="shared" si="4"/>
        <v>0</v>
      </c>
      <c r="U40" s="27" t="str">
        <f t="shared" si="5"/>
        <v>SUBDIRECCION DE GESTION CONTRACTUAL</v>
      </c>
      <c r="V40" s="91" t="str">
        <f t="shared" si="6"/>
        <v>CO-DC</v>
      </c>
      <c r="W40" s="27" t="str">
        <f t="shared" si="7"/>
        <v>Distrito Capital de Bogotá</v>
      </c>
      <c r="X40" s="103" t="s">
        <v>121</v>
      </c>
      <c r="Y40" s="91">
        <v>2427413</v>
      </c>
      <c r="Z40" s="85" t="s">
        <v>122</v>
      </c>
    </row>
    <row r="41" spans="1:26" s="5" customFormat="1" ht="12.75" hidden="1" customHeight="1" x14ac:dyDescent="0.2">
      <c r="A41" s="90" t="s">
        <v>50</v>
      </c>
      <c r="B41" s="91">
        <v>35</v>
      </c>
      <c r="C41" s="92" t="s">
        <v>95</v>
      </c>
      <c r="D41" s="92" t="s">
        <v>123</v>
      </c>
      <c r="E41" s="93">
        <v>185717121</v>
      </c>
      <c r="F41" s="93">
        <f>249309304+14386180-199000000-19695484-8768691</f>
        <v>36231309</v>
      </c>
      <c r="G41" s="93"/>
      <c r="H41" s="94">
        <v>92121500</v>
      </c>
      <c r="I41" s="76" t="s">
        <v>124</v>
      </c>
      <c r="J41" s="104">
        <v>1</v>
      </c>
      <c r="K41" s="104">
        <v>1</v>
      </c>
      <c r="L41" s="104">
        <v>11</v>
      </c>
      <c r="M41" s="91">
        <f t="shared" si="0"/>
        <v>1</v>
      </c>
      <c r="N41" s="98" t="s">
        <v>125</v>
      </c>
      <c r="O41" s="99" t="s">
        <v>126</v>
      </c>
      <c r="P41" s="100">
        <f t="shared" si="1"/>
        <v>1</v>
      </c>
      <c r="Q41" s="101">
        <f t="shared" si="2"/>
        <v>221948430</v>
      </c>
      <c r="R41" s="101">
        <f t="shared" si="3"/>
        <v>36231309</v>
      </c>
      <c r="S41" s="102" t="s">
        <v>56</v>
      </c>
      <c r="T41" s="98">
        <f t="shared" si="4"/>
        <v>0</v>
      </c>
      <c r="U41" s="27" t="str">
        <f t="shared" si="5"/>
        <v>SUBDIRECCION DE GESTION CONTRACTUAL</v>
      </c>
      <c r="V41" s="91" t="str">
        <f t="shared" si="6"/>
        <v>CO-DC</v>
      </c>
      <c r="W41" s="27" t="str">
        <f t="shared" si="7"/>
        <v>Distrito Capital de Bogotá</v>
      </c>
      <c r="X41" s="103" t="s">
        <v>57</v>
      </c>
      <c r="Y41" s="91">
        <v>2427414</v>
      </c>
      <c r="Z41" s="105" t="s">
        <v>58</v>
      </c>
    </row>
    <row r="42" spans="1:26" s="5" customFormat="1" ht="12.75" hidden="1" customHeight="1" x14ac:dyDescent="0.2">
      <c r="A42" s="90" t="s">
        <v>50</v>
      </c>
      <c r="B42" s="91">
        <v>36</v>
      </c>
      <c r="C42" s="92" t="s">
        <v>95</v>
      </c>
      <c r="D42" s="92" t="s">
        <v>123</v>
      </c>
      <c r="E42" s="132">
        <v>96346322.310000002</v>
      </c>
      <c r="F42" s="93">
        <f>69686692+19695484-7343351</f>
        <v>82038825</v>
      </c>
      <c r="G42" s="93"/>
      <c r="H42" s="94" t="s">
        <v>127</v>
      </c>
      <c r="I42" s="76" t="s">
        <v>128</v>
      </c>
      <c r="J42" s="104">
        <v>1</v>
      </c>
      <c r="K42" s="104">
        <v>1</v>
      </c>
      <c r="L42" s="104">
        <v>7</v>
      </c>
      <c r="M42" s="91">
        <f t="shared" si="0"/>
        <v>1</v>
      </c>
      <c r="N42" s="98" t="s">
        <v>87</v>
      </c>
      <c r="O42" s="99" t="s">
        <v>88</v>
      </c>
      <c r="P42" s="100">
        <f t="shared" si="1"/>
        <v>1</v>
      </c>
      <c r="Q42" s="101">
        <f t="shared" si="2"/>
        <v>178385147.31</v>
      </c>
      <c r="R42" s="101">
        <f t="shared" si="3"/>
        <v>82038825</v>
      </c>
      <c r="S42" s="102" t="s">
        <v>56</v>
      </c>
      <c r="T42" s="98">
        <f t="shared" si="4"/>
        <v>0</v>
      </c>
      <c r="U42" s="27" t="str">
        <f t="shared" si="5"/>
        <v>SUBDIRECCION DE GESTION CONTRACTUAL</v>
      </c>
      <c r="V42" s="91" t="str">
        <f t="shared" si="6"/>
        <v>CO-DC</v>
      </c>
      <c r="W42" s="27" t="str">
        <f t="shared" si="7"/>
        <v>Distrito Capital de Bogotá</v>
      </c>
      <c r="X42" s="131" t="s">
        <v>129</v>
      </c>
      <c r="Y42" s="104">
        <v>2427400</v>
      </c>
      <c r="Z42" s="133" t="s">
        <v>130</v>
      </c>
    </row>
    <row r="43" spans="1:26" s="5" customFormat="1" ht="12.75" hidden="1" customHeight="1" x14ac:dyDescent="0.2">
      <c r="A43" s="90" t="s">
        <v>50</v>
      </c>
      <c r="B43" s="91">
        <v>37</v>
      </c>
      <c r="C43" s="92" t="s">
        <v>95</v>
      </c>
      <c r="D43" s="92" t="s">
        <v>123</v>
      </c>
      <c r="E43" s="93"/>
      <c r="F43" s="93">
        <f>34000000+71000000-2089888</f>
        <v>102910112</v>
      </c>
      <c r="G43" s="93"/>
      <c r="H43" s="94" t="s">
        <v>131</v>
      </c>
      <c r="I43" s="76" t="s">
        <v>132</v>
      </c>
      <c r="J43" s="124">
        <v>1</v>
      </c>
      <c r="K43" s="124">
        <v>1</v>
      </c>
      <c r="L43" s="124">
        <v>10</v>
      </c>
      <c r="M43" s="91">
        <f t="shared" si="0"/>
        <v>1</v>
      </c>
      <c r="N43" s="98" t="s">
        <v>64</v>
      </c>
      <c r="O43" s="99" t="s">
        <v>65</v>
      </c>
      <c r="P43" s="100">
        <f t="shared" si="1"/>
        <v>1</v>
      </c>
      <c r="Q43" s="101">
        <f t="shared" si="2"/>
        <v>102910112</v>
      </c>
      <c r="R43" s="101">
        <f t="shared" si="3"/>
        <v>102910112</v>
      </c>
      <c r="S43" s="102" t="s">
        <v>56</v>
      </c>
      <c r="T43" s="98">
        <f t="shared" si="4"/>
        <v>0</v>
      </c>
      <c r="U43" s="27" t="str">
        <f t="shared" si="5"/>
        <v>SUBDIRECCION DE GESTION CONTRACTUAL</v>
      </c>
      <c r="V43" s="91" t="str">
        <f t="shared" si="6"/>
        <v>CO-DC</v>
      </c>
      <c r="W43" s="27" t="str">
        <f t="shared" si="7"/>
        <v>Distrito Capital de Bogotá</v>
      </c>
      <c r="X43" s="103" t="s">
        <v>121</v>
      </c>
      <c r="Y43" s="91">
        <v>2427400</v>
      </c>
      <c r="Z43" s="105" t="s">
        <v>122</v>
      </c>
    </row>
    <row r="44" spans="1:26" s="5" customFormat="1" ht="12.75" hidden="1" customHeight="1" x14ac:dyDescent="0.2">
      <c r="A44" s="90" t="s">
        <v>50</v>
      </c>
      <c r="B44" s="91">
        <v>38</v>
      </c>
      <c r="C44" s="92" t="s">
        <v>95</v>
      </c>
      <c r="D44" s="92" t="s">
        <v>133</v>
      </c>
      <c r="E44" s="93"/>
      <c r="F44" s="93">
        <f>12000000-1358176-1</f>
        <v>10641823</v>
      </c>
      <c r="G44" s="93"/>
      <c r="H44" s="131" t="s">
        <v>134</v>
      </c>
      <c r="I44" s="76" t="s">
        <v>135</v>
      </c>
      <c r="J44" s="104">
        <v>11</v>
      </c>
      <c r="K44" s="104">
        <v>11</v>
      </c>
      <c r="L44" s="104">
        <v>12</v>
      </c>
      <c r="M44" s="91">
        <f t="shared" si="0"/>
        <v>1</v>
      </c>
      <c r="N44" s="98" t="s">
        <v>87</v>
      </c>
      <c r="O44" s="99" t="s">
        <v>88</v>
      </c>
      <c r="P44" s="100">
        <f t="shared" si="1"/>
        <v>1</v>
      </c>
      <c r="Q44" s="101">
        <f t="shared" si="2"/>
        <v>10641823</v>
      </c>
      <c r="R44" s="101">
        <f t="shared" si="3"/>
        <v>10641823</v>
      </c>
      <c r="S44" s="102" t="s">
        <v>56</v>
      </c>
      <c r="T44" s="98">
        <f t="shared" si="4"/>
        <v>0</v>
      </c>
      <c r="U44" s="27" t="str">
        <f t="shared" si="5"/>
        <v>SUBDIRECCION DE GESTION CONTRACTUAL</v>
      </c>
      <c r="V44" s="91" t="str">
        <f t="shared" si="6"/>
        <v>CO-DC</v>
      </c>
      <c r="W44" s="27" t="str">
        <f t="shared" si="7"/>
        <v>Distrito Capital de Bogotá</v>
      </c>
      <c r="X44" s="131" t="s">
        <v>136</v>
      </c>
      <c r="Y44" s="104">
        <v>2427400</v>
      </c>
      <c r="Z44" s="133" t="s">
        <v>137</v>
      </c>
    </row>
    <row r="45" spans="1:26" s="5" customFormat="1" ht="14.25" hidden="1" x14ac:dyDescent="0.2">
      <c r="A45" s="90" t="s">
        <v>50</v>
      </c>
      <c r="B45" s="91">
        <v>39</v>
      </c>
      <c r="C45" s="92" t="s">
        <v>95</v>
      </c>
      <c r="D45" s="92" t="s">
        <v>138</v>
      </c>
      <c r="E45" s="93"/>
      <c r="F45" s="93">
        <v>6384500</v>
      </c>
      <c r="G45" s="93"/>
      <c r="H45" s="94">
        <v>85122201</v>
      </c>
      <c r="I45" s="76" t="s">
        <v>139</v>
      </c>
      <c r="J45" s="104">
        <v>2</v>
      </c>
      <c r="K45" s="104">
        <v>2</v>
      </c>
      <c r="L45" s="104">
        <v>10</v>
      </c>
      <c r="M45" s="91">
        <f t="shared" si="0"/>
        <v>1</v>
      </c>
      <c r="N45" s="98" t="s">
        <v>100</v>
      </c>
      <c r="O45" s="99" t="s">
        <v>101</v>
      </c>
      <c r="P45" s="100">
        <f t="shared" si="1"/>
        <v>1</v>
      </c>
      <c r="Q45" s="101">
        <f t="shared" si="2"/>
        <v>6384500</v>
      </c>
      <c r="R45" s="101">
        <f t="shared" si="3"/>
        <v>6384500</v>
      </c>
      <c r="S45" s="102" t="s">
        <v>56</v>
      </c>
      <c r="T45" s="98">
        <f t="shared" si="4"/>
        <v>0</v>
      </c>
      <c r="U45" s="27" t="str">
        <f t="shared" si="5"/>
        <v>SUBDIRECCION DE GESTION CONTRACTUAL</v>
      </c>
      <c r="V45" s="91" t="str">
        <f t="shared" si="6"/>
        <v>CO-DC</v>
      </c>
      <c r="W45" s="27" t="str">
        <f t="shared" si="7"/>
        <v>Distrito Capital de Bogotá</v>
      </c>
      <c r="X45" s="103" t="s">
        <v>57</v>
      </c>
      <c r="Y45" s="91">
        <v>2427418</v>
      </c>
      <c r="Z45" s="105" t="s">
        <v>58</v>
      </c>
    </row>
    <row r="46" spans="1:26" s="5" customFormat="1" ht="12.75" hidden="1" customHeight="1" x14ac:dyDescent="0.25">
      <c r="A46" s="90" t="s">
        <v>50</v>
      </c>
      <c r="B46" s="91">
        <v>40</v>
      </c>
      <c r="C46" s="92" t="s">
        <v>76</v>
      </c>
      <c r="D46" s="92" t="s">
        <v>140</v>
      </c>
      <c r="E46" s="93"/>
      <c r="F46" s="93">
        <f>200000000+950000000</f>
        <v>1150000000</v>
      </c>
      <c r="G46" s="93"/>
      <c r="H46" s="104" t="s">
        <v>141</v>
      </c>
      <c r="I46" s="123" t="s">
        <v>68</v>
      </c>
      <c r="J46" s="104">
        <v>2</v>
      </c>
      <c r="K46" s="104">
        <v>3</v>
      </c>
      <c r="L46" s="104">
        <v>9</v>
      </c>
      <c r="M46" s="91">
        <f t="shared" si="0"/>
        <v>1</v>
      </c>
      <c r="N46" s="98" t="s">
        <v>69</v>
      </c>
      <c r="O46" s="99" t="s">
        <v>70</v>
      </c>
      <c r="P46" s="100">
        <f t="shared" si="1"/>
        <v>1</v>
      </c>
      <c r="Q46" s="101">
        <f t="shared" ref="Q46:Q52" si="8">IF(VALUE(E46+F46+G46)=0,"",E46+F46+G46)</f>
        <v>1150000000</v>
      </c>
      <c r="R46" s="101">
        <f t="shared" ref="R46:R52" si="9">IF(VALUE(F46)=0,"",F46)</f>
        <v>1150000000</v>
      </c>
      <c r="S46" s="102" t="s">
        <v>56</v>
      </c>
      <c r="T46" s="98">
        <f t="shared" si="4"/>
        <v>0</v>
      </c>
      <c r="U46" s="27" t="str">
        <f t="shared" si="5"/>
        <v>SUBDIRECCION DE GESTION CONTRACTUAL</v>
      </c>
      <c r="V46" s="91" t="str">
        <f t="shared" si="6"/>
        <v>CO-DC</v>
      </c>
      <c r="W46" s="27" t="str">
        <f t="shared" si="7"/>
        <v>Distrito Capital de Bogotá</v>
      </c>
      <c r="X46" s="103" t="s">
        <v>57</v>
      </c>
      <c r="Y46" s="91">
        <v>2427418</v>
      </c>
      <c r="Z46" s="105" t="s">
        <v>58</v>
      </c>
    </row>
    <row r="47" spans="1:26" s="5" customFormat="1" ht="12.75" hidden="1" customHeight="1" x14ac:dyDescent="0.2">
      <c r="A47" s="90" t="s">
        <v>50</v>
      </c>
      <c r="B47" s="91">
        <v>41</v>
      </c>
      <c r="C47" s="92" t="s">
        <v>76</v>
      </c>
      <c r="D47" s="92" t="s">
        <v>140</v>
      </c>
      <c r="E47" s="93"/>
      <c r="F47" s="93">
        <v>332987072</v>
      </c>
      <c r="G47" s="93"/>
      <c r="H47" s="94">
        <v>80111600</v>
      </c>
      <c r="I47" s="76" t="s">
        <v>53</v>
      </c>
      <c r="J47" s="104">
        <v>2</v>
      </c>
      <c r="K47" s="104">
        <v>1</v>
      </c>
      <c r="L47" s="104">
        <v>11</v>
      </c>
      <c r="M47" s="91">
        <f t="shared" si="0"/>
        <v>1</v>
      </c>
      <c r="N47" s="98" t="s">
        <v>54</v>
      </c>
      <c r="O47" s="99" t="s">
        <v>55</v>
      </c>
      <c r="P47" s="100">
        <f t="shared" si="1"/>
        <v>1</v>
      </c>
      <c r="Q47" s="101">
        <f t="shared" si="8"/>
        <v>332987072</v>
      </c>
      <c r="R47" s="101">
        <f t="shared" si="9"/>
        <v>332987072</v>
      </c>
      <c r="S47" s="102" t="s">
        <v>56</v>
      </c>
      <c r="T47" s="98">
        <f t="shared" si="4"/>
        <v>0</v>
      </c>
      <c r="U47" s="27" t="str">
        <f t="shared" si="5"/>
        <v>SUBDIRECCION DE GESTION CONTRACTUAL</v>
      </c>
      <c r="V47" s="91" t="str">
        <f t="shared" si="6"/>
        <v>CO-DC</v>
      </c>
      <c r="W47" s="27" t="str">
        <f t="shared" si="7"/>
        <v>Distrito Capital de Bogotá</v>
      </c>
      <c r="X47" s="103" t="s">
        <v>57</v>
      </c>
      <c r="Y47" s="91">
        <v>2427418</v>
      </c>
      <c r="Z47" s="105" t="s">
        <v>58</v>
      </c>
    </row>
    <row r="48" spans="1:26" s="5" customFormat="1" ht="12.75" hidden="1" customHeight="1" x14ac:dyDescent="0.2">
      <c r="A48" s="90" t="s">
        <v>50</v>
      </c>
      <c r="B48" s="91">
        <v>42</v>
      </c>
      <c r="C48" s="92" t="s">
        <v>76</v>
      </c>
      <c r="D48" s="92" t="s">
        <v>140</v>
      </c>
      <c r="E48" s="93"/>
      <c r="F48" s="93">
        <f>3467012928-950000000</f>
        <v>2517012928</v>
      </c>
      <c r="G48" s="93"/>
      <c r="H48" s="94" t="s">
        <v>81</v>
      </c>
      <c r="I48" s="134" t="s">
        <v>142</v>
      </c>
      <c r="J48" s="104">
        <v>3</v>
      </c>
      <c r="K48" s="104">
        <v>4</v>
      </c>
      <c r="L48" s="104">
        <v>8</v>
      </c>
      <c r="M48" s="91">
        <f t="shared" si="0"/>
        <v>1</v>
      </c>
      <c r="N48" s="98" t="s">
        <v>64</v>
      </c>
      <c r="O48" s="99" t="s">
        <v>65</v>
      </c>
      <c r="P48" s="100">
        <f t="shared" si="1"/>
        <v>1</v>
      </c>
      <c r="Q48" s="101">
        <f t="shared" si="8"/>
        <v>2517012928</v>
      </c>
      <c r="R48" s="101">
        <f t="shared" si="9"/>
        <v>2517012928</v>
      </c>
      <c r="S48" s="102" t="s">
        <v>56</v>
      </c>
      <c r="T48" s="98">
        <f t="shared" si="4"/>
        <v>0</v>
      </c>
      <c r="U48" s="27" t="str">
        <f t="shared" si="5"/>
        <v>SUBDIRECCION DE GESTION CONTRACTUAL</v>
      </c>
      <c r="V48" s="91" t="str">
        <f t="shared" si="6"/>
        <v>CO-DC</v>
      </c>
      <c r="W48" s="27" t="str">
        <f t="shared" si="7"/>
        <v>Distrito Capital de Bogotá</v>
      </c>
      <c r="X48" s="103" t="s">
        <v>57</v>
      </c>
      <c r="Y48" s="91">
        <v>2427418</v>
      </c>
      <c r="Z48" s="105" t="s">
        <v>58</v>
      </c>
    </row>
    <row r="49" spans="1:26" s="5" customFormat="1" ht="12.75" hidden="1" customHeight="1" x14ac:dyDescent="0.25">
      <c r="A49" s="90" t="s">
        <v>50</v>
      </c>
      <c r="B49" s="91">
        <v>43</v>
      </c>
      <c r="C49" s="92" t="s">
        <v>76</v>
      </c>
      <c r="D49" s="92" t="s">
        <v>52</v>
      </c>
      <c r="E49" s="93"/>
      <c r="F49" s="93">
        <f>300000000-50000000+750000000</f>
        <v>1000000000</v>
      </c>
      <c r="G49" s="93"/>
      <c r="H49" s="94" t="s">
        <v>141</v>
      </c>
      <c r="I49" s="123" t="s">
        <v>68</v>
      </c>
      <c r="J49" s="104">
        <v>2</v>
      </c>
      <c r="K49" s="104">
        <v>3</v>
      </c>
      <c r="L49" s="104">
        <v>9</v>
      </c>
      <c r="M49" s="91">
        <f t="shared" si="0"/>
        <v>1</v>
      </c>
      <c r="N49" s="98" t="s">
        <v>69</v>
      </c>
      <c r="O49" s="99" t="s">
        <v>70</v>
      </c>
      <c r="P49" s="100">
        <f t="shared" si="1"/>
        <v>1</v>
      </c>
      <c r="Q49" s="101">
        <f t="shared" si="8"/>
        <v>1000000000</v>
      </c>
      <c r="R49" s="101">
        <f t="shared" si="9"/>
        <v>1000000000</v>
      </c>
      <c r="S49" s="102" t="s">
        <v>56</v>
      </c>
      <c r="T49" s="98">
        <f t="shared" si="4"/>
        <v>0</v>
      </c>
      <c r="U49" s="27" t="str">
        <f t="shared" si="5"/>
        <v>SUBDIRECCION DE GESTION CONTRACTUAL</v>
      </c>
      <c r="V49" s="91" t="str">
        <f t="shared" si="6"/>
        <v>CO-DC</v>
      </c>
      <c r="W49" s="27" t="str">
        <f t="shared" si="7"/>
        <v>Distrito Capital de Bogotá</v>
      </c>
      <c r="X49" s="103" t="s">
        <v>57</v>
      </c>
      <c r="Y49" s="91">
        <v>2427418</v>
      </c>
      <c r="Z49" s="105" t="s">
        <v>58</v>
      </c>
    </row>
    <row r="50" spans="1:26" s="5" customFormat="1" ht="12.75" hidden="1" customHeight="1" x14ac:dyDescent="0.2">
      <c r="A50" s="90" t="s">
        <v>50</v>
      </c>
      <c r="B50" s="91">
        <v>44</v>
      </c>
      <c r="C50" s="92" t="s">
        <v>84</v>
      </c>
      <c r="D50" s="92" t="s">
        <v>52</v>
      </c>
      <c r="E50" s="93"/>
      <c r="F50" s="93">
        <f>130000000+70000000-131164973</f>
        <v>68835027</v>
      </c>
      <c r="G50" s="93"/>
      <c r="H50" s="94" t="s">
        <v>143</v>
      </c>
      <c r="I50" s="135" t="s">
        <v>144</v>
      </c>
      <c r="J50" s="104">
        <v>3</v>
      </c>
      <c r="K50" s="104">
        <v>4</v>
      </c>
      <c r="L50" s="104">
        <v>1</v>
      </c>
      <c r="M50" s="91">
        <f t="shared" si="0"/>
        <v>1</v>
      </c>
      <c r="N50" s="98" t="s">
        <v>87</v>
      </c>
      <c r="O50" s="99" t="s">
        <v>88</v>
      </c>
      <c r="P50" s="100">
        <f t="shared" si="1"/>
        <v>1</v>
      </c>
      <c r="Q50" s="101">
        <f t="shared" si="8"/>
        <v>68835027</v>
      </c>
      <c r="R50" s="101">
        <f t="shared" si="9"/>
        <v>68835027</v>
      </c>
      <c r="S50" s="102" t="s">
        <v>56</v>
      </c>
      <c r="T50" s="98">
        <f t="shared" si="4"/>
        <v>0</v>
      </c>
      <c r="U50" s="27" t="str">
        <f t="shared" si="5"/>
        <v>SUBDIRECCION DE GESTION CONTRACTUAL</v>
      </c>
      <c r="V50" s="91" t="str">
        <f t="shared" si="6"/>
        <v>CO-DC</v>
      </c>
      <c r="W50" s="27" t="str">
        <f t="shared" si="7"/>
        <v>Distrito Capital de Bogotá</v>
      </c>
      <c r="X50" s="103" t="s">
        <v>57</v>
      </c>
      <c r="Y50" s="91">
        <v>2427418</v>
      </c>
      <c r="Z50" s="105" t="s">
        <v>58</v>
      </c>
    </row>
    <row r="51" spans="1:26" s="5" customFormat="1" ht="12.75" hidden="1" customHeight="1" x14ac:dyDescent="0.25">
      <c r="A51" s="90" t="s">
        <v>50</v>
      </c>
      <c r="B51" s="91">
        <v>45</v>
      </c>
      <c r="C51" s="92" t="s">
        <v>95</v>
      </c>
      <c r="D51" s="104" t="s">
        <v>123</v>
      </c>
      <c r="E51" s="93"/>
      <c r="F51" s="93">
        <v>6000000</v>
      </c>
      <c r="G51" s="93">
        <v>419920836</v>
      </c>
      <c r="H51" s="131">
        <v>92121500</v>
      </c>
      <c r="I51" s="136" t="s">
        <v>145</v>
      </c>
      <c r="J51" s="137">
        <v>11</v>
      </c>
      <c r="K51" s="104">
        <v>12</v>
      </c>
      <c r="L51" s="138">
        <v>11</v>
      </c>
      <c r="M51" s="91">
        <f t="shared" si="0"/>
        <v>1</v>
      </c>
      <c r="N51" s="98" t="s">
        <v>64</v>
      </c>
      <c r="O51" s="99" t="s">
        <v>65</v>
      </c>
      <c r="P51" s="100">
        <f t="shared" si="1"/>
        <v>1</v>
      </c>
      <c r="Q51" s="101">
        <f t="shared" si="8"/>
        <v>425920836</v>
      </c>
      <c r="R51" s="101">
        <f t="shared" si="9"/>
        <v>6000000</v>
      </c>
      <c r="S51" s="102" t="s">
        <v>56</v>
      </c>
      <c r="T51" s="98">
        <f t="shared" si="4"/>
        <v>0</v>
      </c>
      <c r="U51" s="27" t="str">
        <f t="shared" si="5"/>
        <v>SUBDIRECCION DE GESTION CONTRACTUAL</v>
      </c>
      <c r="V51" s="91" t="str">
        <f t="shared" si="6"/>
        <v>CO-DC</v>
      </c>
      <c r="W51" s="27" t="str">
        <f t="shared" si="7"/>
        <v>Distrito Capital de Bogotá</v>
      </c>
      <c r="X51" s="103" t="s">
        <v>57</v>
      </c>
      <c r="Y51" s="91">
        <v>2427418</v>
      </c>
      <c r="Z51" s="85" t="s">
        <v>58</v>
      </c>
    </row>
    <row r="52" spans="1:26" s="5" customFormat="1" ht="12.75" hidden="1" customHeight="1" x14ac:dyDescent="0.25">
      <c r="A52" s="90" t="s">
        <v>50</v>
      </c>
      <c r="B52" s="91">
        <v>46</v>
      </c>
      <c r="C52" s="92" t="s">
        <v>95</v>
      </c>
      <c r="D52" s="104" t="s">
        <v>123</v>
      </c>
      <c r="E52" s="93"/>
      <c r="F52" s="93">
        <v>12201930</v>
      </c>
      <c r="G52" s="93">
        <v>159638368.81399998</v>
      </c>
      <c r="H52" s="131" t="s">
        <v>127</v>
      </c>
      <c r="I52" s="76" t="s">
        <v>146</v>
      </c>
      <c r="J52" s="104">
        <v>11</v>
      </c>
      <c r="K52" s="104">
        <v>12</v>
      </c>
      <c r="L52" s="104">
        <v>8</v>
      </c>
      <c r="M52" s="91">
        <f t="shared" si="0"/>
        <v>1</v>
      </c>
      <c r="N52" s="98" t="s">
        <v>64</v>
      </c>
      <c r="O52" s="99" t="s">
        <v>65</v>
      </c>
      <c r="P52" s="100">
        <f t="shared" si="1"/>
        <v>1</v>
      </c>
      <c r="Q52" s="101">
        <f t="shared" si="8"/>
        <v>171840298.81399998</v>
      </c>
      <c r="R52" s="101">
        <f t="shared" si="9"/>
        <v>12201930</v>
      </c>
      <c r="S52" s="102" t="s">
        <v>56</v>
      </c>
      <c r="T52" s="98">
        <f t="shared" si="4"/>
        <v>0</v>
      </c>
      <c r="U52" s="27" t="str">
        <f t="shared" si="5"/>
        <v>SUBDIRECCION DE GESTION CONTRACTUAL</v>
      </c>
      <c r="V52" s="91" t="str">
        <f t="shared" si="6"/>
        <v>CO-DC</v>
      </c>
      <c r="W52" s="27" t="str">
        <f t="shared" si="7"/>
        <v>Distrito Capital de Bogotá</v>
      </c>
      <c r="X52" s="103" t="s">
        <v>57</v>
      </c>
      <c r="Y52" s="91">
        <v>2427419</v>
      </c>
      <c r="Z52" s="85" t="s">
        <v>58</v>
      </c>
    </row>
    <row r="53" spans="1:26" s="5" customFormat="1" ht="12.75" hidden="1" customHeight="1" x14ac:dyDescent="0.25">
      <c r="A53" s="90" t="s">
        <v>50</v>
      </c>
      <c r="B53" s="91">
        <v>47</v>
      </c>
      <c r="C53" s="92" t="s">
        <v>95</v>
      </c>
      <c r="D53" s="131" t="s">
        <v>147</v>
      </c>
      <c r="E53" s="93"/>
      <c r="F53" s="93">
        <v>40000000</v>
      </c>
      <c r="G53" s="93"/>
      <c r="H53" s="131">
        <v>78102203</v>
      </c>
      <c r="I53" s="76" t="s">
        <v>148</v>
      </c>
      <c r="J53" s="104">
        <v>6</v>
      </c>
      <c r="K53" s="104">
        <v>6</v>
      </c>
      <c r="L53" s="104">
        <v>6</v>
      </c>
      <c r="M53" s="91">
        <f t="shared" si="0"/>
        <v>1</v>
      </c>
      <c r="N53" s="98" t="s">
        <v>64</v>
      </c>
      <c r="O53" s="99" t="s">
        <v>65</v>
      </c>
      <c r="P53" s="100">
        <f t="shared" si="1"/>
        <v>1</v>
      </c>
      <c r="Q53" s="101">
        <f>+E53+F53+G53</f>
        <v>40000000</v>
      </c>
      <c r="R53" s="101">
        <f>+F53</f>
        <v>40000000</v>
      </c>
      <c r="S53" s="102" t="s">
        <v>56</v>
      </c>
      <c r="T53" s="98">
        <f t="shared" si="4"/>
        <v>0</v>
      </c>
      <c r="U53" s="27" t="str">
        <f t="shared" si="5"/>
        <v>SUBDIRECCION DE GESTION CONTRACTUAL</v>
      </c>
      <c r="V53" s="91" t="str">
        <f t="shared" si="6"/>
        <v>CO-DC</v>
      </c>
      <c r="W53" s="27" t="str">
        <f t="shared" si="7"/>
        <v>Distrito Capital de Bogotá</v>
      </c>
      <c r="X53" s="103" t="s">
        <v>57</v>
      </c>
      <c r="Y53" s="91">
        <v>2427420</v>
      </c>
      <c r="Z53" s="85" t="s">
        <v>58</v>
      </c>
    </row>
    <row r="54" spans="1:26" s="5" customFormat="1" ht="12.75" hidden="1" customHeight="1" x14ac:dyDescent="0.25">
      <c r="A54" s="90" t="s">
        <v>50</v>
      </c>
      <c r="B54" s="91">
        <v>48</v>
      </c>
      <c r="C54" s="134" t="s">
        <v>95</v>
      </c>
      <c r="D54" s="92" t="s">
        <v>96</v>
      </c>
      <c r="E54" s="93"/>
      <c r="F54" s="93">
        <f>200000000-200000000+10000000</f>
        <v>10000000</v>
      </c>
      <c r="G54" s="93"/>
      <c r="H54" s="131">
        <v>45101500</v>
      </c>
      <c r="I54" s="76" t="s">
        <v>149</v>
      </c>
      <c r="J54" s="104">
        <v>10</v>
      </c>
      <c r="K54" s="104">
        <v>10</v>
      </c>
      <c r="L54" s="104">
        <v>1</v>
      </c>
      <c r="M54" s="91">
        <f t="shared" si="0"/>
        <v>1</v>
      </c>
      <c r="N54" s="98" t="s">
        <v>87</v>
      </c>
      <c r="O54" s="99" t="s">
        <v>88</v>
      </c>
      <c r="P54" s="100">
        <f t="shared" si="1"/>
        <v>1</v>
      </c>
      <c r="Q54" s="101">
        <f>+E54+F54+G54</f>
        <v>10000000</v>
      </c>
      <c r="R54" s="101">
        <f>+F54</f>
        <v>10000000</v>
      </c>
      <c r="S54" s="102" t="s">
        <v>56</v>
      </c>
      <c r="T54" s="98">
        <f t="shared" si="4"/>
        <v>0</v>
      </c>
      <c r="U54" s="27" t="str">
        <f t="shared" si="5"/>
        <v>SUBDIRECCION DE GESTION CONTRACTUAL</v>
      </c>
      <c r="V54" s="91" t="str">
        <f t="shared" si="6"/>
        <v>CO-DC</v>
      </c>
      <c r="W54" s="27" t="str">
        <f t="shared" si="7"/>
        <v>Distrito Capital de Bogotá</v>
      </c>
      <c r="X54" s="103" t="s">
        <v>57</v>
      </c>
      <c r="Y54" s="91">
        <v>2427421</v>
      </c>
      <c r="Z54" s="85" t="s">
        <v>58</v>
      </c>
    </row>
    <row r="55" spans="1:26" s="5" customFormat="1" ht="12.75" hidden="1" customHeight="1" x14ac:dyDescent="0.25">
      <c r="A55" s="90" t="s">
        <v>150</v>
      </c>
      <c r="B55" s="91">
        <v>1</v>
      </c>
      <c r="C55" s="92" t="s">
        <v>151</v>
      </c>
      <c r="D55" s="92" t="s">
        <v>152</v>
      </c>
      <c r="E55" s="93"/>
      <c r="F55" s="93">
        <v>270000000</v>
      </c>
      <c r="G55" s="93"/>
      <c r="H55" s="94">
        <v>80111600</v>
      </c>
      <c r="I55" s="76" t="s">
        <v>153</v>
      </c>
      <c r="J55" s="95">
        <v>1</v>
      </c>
      <c r="K55" s="96">
        <v>1</v>
      </c>
      <c r="L55" s="97">
        <v>12</v>
      </c>
      <c r="M55" s="91">
        <f t="shared" ref="M55:M58" si="10">IF(ISBLANK(J55),"",1)</f>
        <v>1</v>
      </c>
      <c r="N55" s="98" t="s">
        <v>54</v>
      </c>
      <c r="O55" s="99" t="s">
        <v>55</v>
      </c>
      <c r="P55" s="100">
        <f t="shared" ref="P55:P58" si="11">IF(ISBLANK(N55),"",1)</f>
        <v>1</v>
      </c>
      <c r="Q55" s="101">
        <f t="shared" ref="Q55:Q58" si="12">+E55+F55+G55</f>
        <v>270000000</v>
      </c>
      <c r="R55" s="101">
        <f t="shared" ref="R55:R58" si="13">+F55</f>
        <v>270000000</v>
      </c>
      <c r="S55" s="102" t="s">
        <v>56</v>
      </c>
      <c r="T55" s="98">
        <f t="shared" ref="T55:T58" si="14">IF(ISBLANK(S55),"",IF(VALUE(S55)=0,0,IF(VALUE(S55)=1,3,"")))</f>
        <v>0</v>
      </c>
      <c r="U55" s="27" t="str">
        <f t="shared" ref="U55:U58" si="15">IF(ISBLANK(N55),"","SUBDIRECCION DE GESTION CONTRACTUAL")</f>
        <v>SUBDIRECCION DE GESTION CONTRACTUAL</v>
      </c>
      <c r="V55" s="91" t="str">
        <f t="shared" ref="V55:V58" si="16">IF(ISBLANK(N55),"","CO-DC")</f>
        <v>CO-DC</v>
      </c>
      <c r="W55" s="27" t="str">
        <f t="shared" ref="W55:W58" si="17">IF(ISBLANK(N55),"","Distrito Capital de Bogotá")</f>
        <v>Distrito Capital de Bogotá</v>
      </c>
      <c r="X55" s="103" t="s">
        <v>154</v>
      </c>
      <c r="Y55" s="91">
        <v>2427400</v>
      </c>
      <c r="Z55" s="85" t="s">
        <v>155</v>
      </c>
    </row>
    <row r="56" spans="1:26" s="5" customFormat="1" ht="12.75" hidden="1" customHeight="1" x14ac:dyDescent="0.25">
      <c r="A56" s="90" t="s">
        <v>150</v>
      </c>
      <c r="B56" s="91">
        <v>2</v>
      </c>
      <c r="C56" s="92" t="s">
        <v>151</v>
      </c>
      <c r="D56" s="92" t="s">
        <v>152</v>
      </c>
      <c r="E56" s="93"/>
      <c r="F56" s="93">
        <v>400000000</v>
      </c>
      <c r="G56" s="93"/>
      <c r="H56" s="94" t="s">
        <v>67</v>
      </c>
      <c r="I56" s="76" t="s">
        <v>156</v>
      </c>
      <c r="J56" s="95">
        <v>2</v>
      </c>
      <c r="K56" s="96">
        <v>3</v>
      </c>
      <c r="L56" s="97">
        <v>9</v>
      </c>
      <c r="M56" s="91">
        <f t="shared" si="10"/>
        <v>1</v>
      </c>
      <c r="N56" s="98" t="s">
        <v>69</v>
      </c>
      <c r="O56" s="99" t="s">
        <v>70</v>
      </c>
      <c r="P56" s="100">
        <f t="shared" si="11"/>
        <v>1</v>
      </c>
      <c r="Q56" s="101">
        <f t="shared" si="12"/>
        <v>400000000</v>
      </c>
      <c r="R56" s="101">
        <f t="shared" si="13"/>
        <v>400000000</v>
      </c>
      <c r="S56" s="102" t="s">
        <v>56</v>
      </c>
      <c r="T56" s="98">
        <f t="shared" si="14"/>
        <v>0</v>
      </c>
      <c r="U56" s="27" t="str">
        <f t="shared" si="15"/>
        <v>SUBDIRECCION DE GESTION CONTRACTUAL</v>
      </c>
      <c r="V56" s="91" t="str">
        <f t="shared" si="16"/>
        <v>CO-DC</v>
      </c>
      <c r="W56" s="27" t="str">
        <f t="shared" si="17"/>
        <v>Distrito Capital de Bogotá</v>
      </c>
      <c r="X56" s="103" t="s">
        <v>154</v>
      </c>
      <c r="Y56" s="91">
        <v>2427400</v>
      </c>
      <c r="Z56" s="85" t="s">
        <v>155</v>
      </c>
    </row>
    <row r="57" spans="1:26" s="5" customFormat="1" ht="12.75" hidden="1" customHeight="1" x14ac:dyDescent="0.25">
      <c r="A57" s="90" t="s">
        <v>150</v>
      </c>
      <c r="B57" s="91">
        <v>3</v>
      </c>
      <c r="C57" s="92" t="s">
        <v>151</v>
      </c>
      <c r="D57" s="92" t="s">
        <v>152</v>
      </c>
      <c r="E57" s="93"/>
      <c r="F57" s="93">
        <v>6174796609</v>
      </c>
      <c r="G57" s="93"/>
      <c r="H57" s="139" t="s">
        <v>157</v>
      </c>
      <c r="I57" s="27" t="s">
        <v>158</v>
      </c>
      <c r="J57" s="95">
        <v>10</v>
      </c>
      <c r="K57" s="95">
        <v>10</v>
      </c>
      <c r="L57" s="97">
        <v>2</v>
      </c>
      <c r="M57" s="91">
        <f t="shared" si="10"/>
        <v>1</v>
      </c>
      <c r="N57" s="98" t="s">
        <v>64</v>
      </c>
      <c r="O57" s="99" t="s">
        <v>65</v>
      </c>
      <c r="P57" s="100">
        <f t="shared" si="11"/>
        <v>1</v>
      </c>
      <c r="Q57" s="101">
        <f t="shared" si="12"/>
        <v>6174796609</v>
      </c>
      <c r="R57" s="101">
        <f t="shared" si="13"/>
        <v>6174796609</v>
      </c>
      <c r="S57" s="102" t="s">
        <v>56</v>
      </c>
      <c r="T57" s="98">
        <f t="shared" si="14"/>
        <v>0</v>
      </c>
      <c r="U57" s="27" t="str">
        <f t="shared" si="15"/>
        <v>SUBDIRECCION DE GESTION CONTRACTUAL</v>
      </c>
      <c r="V57" s="91" t="str">
        <f t="shared" si="16"/>
        <v>CO-DC</v>
      </c>
      <c r="W57" s="27" t="str">
        <f t="shared" si="17"/>
        <v>Distrito Capital de Bogotá</v>
      </c>
      <c r="X57" s="103" t="s">
        <v>159</v>
      </c>
      <c r="Y57" s="91">
        <v>2427400</v>
      </c>
      <c r="Z57" s="140" t="s">
        <v>160</v>
      </c>
    </row>
    <row r="58" spans="1:26" s="5" customFormat="1" ht="12.75" hidden="1" customHeight="1" x14ac:dyDescent="0.2">
      <c r="A58" s="90" t="s">
        <v>150</v>
      </c>
      <c r="B58" s="91">
        <v>4</v>
      </c>
      <c r="C58" s="92" t="s">
        <v>151</v>
      </c>
      <c r="D58" s="92" t="s">
        <v>152</v>
      </c>
      <c r="E58" s="93"/>
      <c r="F58" s="93">
        <v>50000000</v>
      </c>
      <c r="G58" s="93"/>
      <c r="H58" s="94" t="s">
        <v>59</v>
      </c>
      <c r="I58" s="76" t="s">
        <v>161</v>
      </c>
      <c r="J58" s="95">
        <v>3</v>
      </c>
      <c r="K58" s="96">
        <v>4</v>
      </c>
      <c r="L58" s="97">
        <v>9</v>
      </c>
      <c r="M58" s="91">
        <f t="shared" si="10"/>
        <v>1</v>
      </c>
      <c r="N58" s="98" t="s">
        <v>61</v>
      </c>
      <c r="O58" s="99" t="s">
        <v>62</v>
      </c>
      <c r="P58" s="100">
        <f t="shared" si="11"/>
        <v>1</v>
      </c>
      <c r="Q58" s="101">
        <f t="shared" si="12"/>
        <v>50000000</v>
      </c>
      <c r="R58" s="101">
        <f t="shared" si="13"/>
        <v>50000000</v>
      </c>
      <c r="S58" s="102" t="s">
        <v>56</v>
      </c>
      <c r="T58" s="98">
        <f t="shared" si="14"/>
        <v>0</v>
      </c>
      <c r="U58" s="27" t="str">
        <f t="shared" si="15"/>
        <v>SUBDIRECCION DE GESTION CONTRACTUAL</v>
      </c>
      <c r="V58" s="91" t="str">
        <f t="shared" si="16"/>
        <v>CO-DC</v>
      </c>
      <c r="W58" s="27" t="str">
        <f t="shared" si="17"/>
        <v>Distrito Capital de Bogotá</v>
      </c>
      <c r="X58" s="103" t="s">
        <v>162</v>
      </c>
      <c r="Y58" s="91">
        <v>2427400</v>
      </c>
      <c r="Z58" s="105" t="s">
        <v>163</v>
      </c>
    </row>
    <row r="59" spans="1:26" s="5" customFormat="1" ht="12.75" hidden="1" customHeight="1" x14ac:dyDescent="0.2">
      <c r="A59" s="90" t="s">
        <v>150</v>
      </c>
      <c r="B59" s="91">
        <v>5</v>
      </c>
      <c r="C59" s="92" t="s">
        <v>164</v>
      </c>
      <c r="D59" s="92" t="s">
        <v>165</v>
      </c>
      <c r="E59" s="93"/>
      <c r="F59" s="93">
        <f>2000000000+600000000+80000000+128000000+122000000-150000000</f>
        <v>2780000000</v>
      </c>
      <c r="G59" s="93"/>
      <c r="H59" s="94">
        <v>81111600</v>
      </c>
      <c r="I59" s="76" t="s">
        <v>153</v>
      </c>
      <c r="J59" s="95">
        <v>1</v>
      </c>
      <c r="K59" s="96">
        <v>1</v>
      </c>
      <c r="L59" s="97">
        <v>12</v>
      </c>
      <c r="M59" s="91">
        <f t="shared" ref="M59:M99" si="18">IF(ISBLANK(J59),"",1)</f>
        <v>1</v>
      </c>
      <c r="N59" s="98" t="s">
        <v>54</v>
      </c>
      <c r="O59" s="99" t="s">
        <v>55</v>
      </c>
      <c r="P59" s="100">
        <f t="shared" ref="P59:P98" si="19">IF(ISBLANK(N59),"",1)</f>
        <v>1</v>
      </c>
      <c r="Q59" s="101">
        <f t="shared" ref="Q59:Q106" si="20">+E59+F59+G59</f>
        <v>2780000000</v>
      </c>
      <c r="R59" s="101">
        <f t="shared" ref="R59:R106" si="21">+F59</f>
        <v>2780000000</v>
      </c>
      <c r="S59" s="102" t="s">
        <v>56</v>
      </c>
      <c r="T59" s="98">
        <f t="shared" ref="T59:T98" si="22">IF(ISBLANK(S59),"",IF(VALUE(S59)=0,0,IF(VALUE(S59)=1,3,"")))</f>
        <v>0</v>
      </c>
      <c r="U59" s="27" t="str">
        <f t="shared" ref="U59:U106" si="23">IF(ISBLANK(N59),"","SUBDIRECCION DE GESTION CONTRACTUAL")</f>
        <v>SUBDIRECCION DE GESTION CONTRACTUAL</v>
      </c>
      <c r="V59" s="91" t="str">
        <f t="shared" ref="V59:V98" si="24">IF(ISBLANK(N59),"","CO-DC")</f>
        <v>CO-DC</v>
      </c>
      <c r="W59" s="27" t="str">
        <f t="shared" ref="W59:W98" si="25">IF(ISBLANK(N59),"","Distrito Capital de Bogotá")</f>
        <v>Distrito Capital de Bogotá</v>
      </c>
      <c r="X59" s="103" t="s">
        <v>166</v>
      </c>
      <c r="Y59" s="91">
        <v>2427400</v>
      </c>
      <c r="Z59" s="105" t="s">
        <v>167</v>
      </c>
    </row>
    <row r="60" spans="1:26" s="5" customFormat="1" ht="12.75" hidden="1" customHeight="1" x14ac:dyDescent="0.25">
      <c r="A60" s="90" t="s">
        <v>150</v>
      </c>
      <c r="B60" s="91">
        <v>6</v>
      </c>
      <c r="C60" s="92" t="s">
        <v>164</v>
      </c>
      <c r="D60" s="92" t="s">
        <v>165</v>
      </c>
      <c r="E60" s="93"/>
      <c r="F60" s="93">
        <v>950000000</v>
      </c>
      <c r="G60" s="93"/>
      <c r="H60" s="94" t="s">
        <v>67</v>
      </c>
      <c r="I60" s="76" t="s">
        <v>156</v>
      </c>
      <c r="J60" s="95">
        <v>2</v>
      </c>
      <c r="K60" s="96">
        <v>3</v>
      </c>
      <c r="L60" s="97">
        <v>9</v>
      </c>
      <c r="M60" s="91">
        <f t="shared" si="18"/>
        <v>1</v>
      </c>
      <c r="N60" s="98" t="s">
        <v>69</v>
      </c>
      <c r="O60" s="99" t="s">
        <v>70</v>
      </c>
      <c r="P60" s="100">
        <f t="shared" si="19"/>
        <v>1</v>
      </c>
      <c r="Q60" s="101">
        <f t="shared" si="20"/>
        <v>950000000</v>
      </c>
      <c r="R60" s="101">
        <f t="shared" si="21"/>
        <v>950000000</v>
      </c>
      <c r="S60" s="102" t="s">
        <v>56</v>
      </c>
      <c r="T60" s="98">
        <f t="shared" si="22"/>
        <v>0</v>
      </c>
      <c r="U60" s="27" t="str">
        <f t="shared" si="23"/>
        <v>SUBDIRECCION DE GESTION CONTRACTUAL</v>
      </c>
      <c r="V60" s="91" t="str">
        <f t="shared" si="24"/>
        <v>CO-DC</v>
      </c>
      <c r="W60" s="27" t="str">
        <f t="shared" si="25"/>
        <v>Distrito Capital de Bogotá</v>
      </c>
      <c r="X60" s="103" t="s">
        <v>154</v>
      </c>
      <c r="Y60" s="91">
        <v>2427400</v>
      </c>
      <c r="Z60" s="85" t="s">
        <v>155</v>
      </c>
    </row>
    <row r="61" spans="1:26" s="5" customFormat="1" ht="12.75" hidden="1" customHeight="1" x14ac:dyDescent="0.25">
      <c r="A61" s="90" t="s">
        <v>150</v>
      </c>
      <c r="B61" s="91">
        <v>7</v>
      </c>
      <c r="C61" s="92" t="s">
        <v>164</v>
      </c>
      <c r="D61" s="92" t="s">
        <v>165</v>
      </c>
      <c r="E61" s="93"/>
      <c r="F61" s="93">
        <v>350000000</v>
      </c>
      <c r="G61" s="93"/>
      <c r="H61" s="139" t="s">
        <v>157</v>
      </c>
      <c r="I61" s="27" t="s">
        <v>158</v>
      </c>
      <c r="J61" s="95">
        <v>10</v>
      </c>
      <c r="K61" s="96" t="s">
        <v>168</v>
      </c>
      <c r="L61" s="97">
        <v>2</v>
      </c>
      <c r="M61" s="91">
        <f t="shared" si="18"/>
        <v>1</v>
      </c>
      <c r="N61" s="98" t="s">
        <v>64</v>
      </c>
      <c r="O61" s="99" t="s">
        <v>65</v>
      </c>
      <c r="P61" s="100">
        <f t="shared" si="19"/>
        <v>1</v>
      </c>
      <c r="Q61" s="101">
        <f t="shared" si="20"/>
        <v>350000000</v>
      </c>
      <c r="R61" s="101">
        <f t="shared" si="21"/>
        <v>350000000</v>
      </c>
      <c r="S61" s="102" t="s">
        <v>56</v>
      </c>
      <c r="T61" s="98">
        <f t="shared" si="22"/>
        <v>0</v>
      </c>
      <c r="U61" s="27" t="str">
        <f t="shared" si="23"/>
        <v>SUBDIRECCION DE GESTION CONTRACTUAL</v>
      </c>
      <c r="V61" s="91" t="str">
        <f t="shared" si="24"/>
        <v>CO-DC</v>
      </c>
      <c r="W61" s="27" t="str">
        <f t="shared" si="25"/>
        <v>Distrito Capital de Bogotá</v>
      </c>
      <c r="X61" s="103" t="s">
        <v>159</v>
      </c>
      <c r="Y61" s="91">
        <v>2427400</v>
      </c>
      <c r="Z61" s="140" t="s">
        <v>160</v>
      </c>
    </row>
    <row r="62" spans="1:26" s="5" customFormat="1" ht="12.75" hidden="1" customHeight="1" x14ac:dyDescent="0.25">
      <c r="A62" s="90" t="s">
        <v>150</v>
      </c>
      <c r="B62" s="91">
        <v>8</v>
      </c>
      <c r="C62" s="92" t="s">
        <v>164</v>
      </c>
      <c r="D62" s="92" t="s">
        <v>165</v>
      </c>
      <c r="E62" s="93"/>
      <c r="F62" s="93">
        <v>200000000</v>
      </c>
      <c r="G62" s="93"/>
      <c r="H62" s="94" t="s">
        <v>169</v>
      </c>
      <c r="I62" s="76" t="s">
        <v>170</v>
      </c>
      <c r="J62" s="95">
        <v>8</v>
      </c>
      <c r="K62" s="96" t="s">
        <v>171</v>
      </c>
      <c r="L62" s="97">
        <v>4</v>
      </c>
      <c r="M62" s="91">
        <f t="shared" si="18"/>
        <v>1</v>
      </c>
      <c r="N62" s="98" t="s">
        <v>64</v>
      </c>
      <c r="O62" s="99" t="s">
        <v>65</v>
      </c>
      <c r="P62" s="100">
        <f t="shared" si="19"/>
        <v>1</v>
      </c>
      <c r="Q62" s="101">
        <f t="shared" si="20"/>
        <v>200000000</v>
      </c>
      <c r="R62" s="101">
        <f t="shared" si="21"/>
        <v>200000000</v>
      </c>
      <c r="S62" s="102" t="s">
        <v>56</v>
      </c>
      <c r="T62" s="98">
        <f t="shared" si="22"/>
        <v>0</v>
      </c>
      <c r="U62" s="27" t="str">
        <f t="shared" si="23"/>
        <v>SUBDIRECCION DE GESTION CONTRACTUAL</v>
      </c>
      <c r="V62" s="91" t="str">
        <f t="shared" si="24"/>
        <v>CO-DC</v>
      </c>
      <c r="W62" s="27" t="str">
        <f t="shared" si="25"/>
        <v>Distrito Capital de Bogotá</v>
      </c>
      <c r="X62" s="103" t="s">
        <v>154</v>
      </c>
      <c r="Y62" s="91">
        <v>2427400</v>
      </c>
      <c r="Z62" s="85" t="s">
        <v>155</v>
      </c>
    </row>
    <row r="63" spans="1:26" s="5" customFormat="1" ht="12.75" hidden="1" customHeight="1" x14ac:dyDescent="0.25">
      <c r="A63" s="90" t="s">
        <v>150</v>
      </c>
      <c r="B63" s="91">
        <v>9</v>
      </c>
      <c r="C63" s="92" t="s">
        <v>164</v>
      </c>
      <c r="D63" s="92" t="s">
        <v>165</v>
      </c>
      <c r="E63" s="93"/>
      <c r="F63" s="93">
        <f>800000000-400000000+700000000-1100000000</f>
        <v>0</v>
      </c>
      <c r="G63" s="93"/>
      <c r="H63" s="94" t="s">
        <v>169</v>
      </c>
      <c r="I63" s="76" t="s">
        <v>172</v>
      </c>
      <c r="J63" s="95">
        <v>6</v>
      </c>
      <c r="K63" s="95">
        <v>6</v>
      </c>
      <c r="L63" s="97">
        <v>5</v>
      </c>
      <c r="M63" s="91">
        <f t="shared" si="18"/>
        <v>1</v>
      </c>
      <c r="N63" s="98" t="s">
        <v>64</v>
      </c>
      <c r="O63" s="99" t="s">
        <v>65</v>
      </c>
      <c r="P63" s="100">
        <f t="shared" si="19"/>
        <v>1</v>
      </c>
      <c r="Q63" s="101">
        <f t="shared" si="20"/>
        <v>0</v>
      </c>
      <c r="R63" s="101">
        <f t="shared" si="21"/>
        <v>0</v>
      </c>
      <c r="S63" s="102" t="s">
        <v>56</v>
      </c>
      <c r="T63" s="98">
        <f t="shared" si="22"/>
        <v>0</v>
      </c>
      <c r="U63" s="27" t="str">
        <f t="shared" si="23"/>
        <v>SUBDIRECCION DE GESTION CONTRACTUAL</v>
      </c>
      <c r="V63" s="91" t="str">
        <f t="shared" si="24"/>
        <v>CO-DC</v>
      </c>
      <c r="W63" s="27" t="str">
        <f t="shared" si="25"/>
        <v>Distrito Capital de Bogotá</v>
      </c>
      <c r="X63" s="103" t="s">
        <v>154</v>
      </c>
      <c r="Y63" s="91">
        <v>2427400</v>
      </c>
      <c r="Z63" s="85" t="s">
        <v>155</v>
      </c>
    </row>
    <row r="64" spans="1:26" s="5" customFormat="1" ht="12.75" hidden="1" customHeight="1" x14ac:dyDescent="0.25">
      <c r="A64" s="90" t="s">
        <v>150</v>
      </c>
      <c r="B64" s="91">
        <v>10</v>
      </c>
      <c r="C64" s="92" t="s">
        <v>173</v>
      </c>
      <c r="D64" s="92" t="s">
        <v>165</v>
      </c>
      <c r="E64" s="93"/>
      <c r="F64" s="93">
        <f>2060000000+40000000-50000000</f>
        <v>2050000000</v>
      </c>
      <c r="G64" s="93"/>
      <c r="H64" s="94">
        <v>80111600</v>
      </c>
      <c r="I64" s="76" t="s">
        <v>153</v>
      </c>
      <c r="J64" s="95">
        <v>1</v>
      </c>
      <c r="K64" s="96">
        <v>1</v>
      </c>
      <c r="L64" s="97">
        <v>12</v>
      </c>
      <c r="M64" s="91">
        <f t="shared" si="18"/>
        <v>1</v>
      </c>
      <c r="N64" s="98" t="s">
        <v>54</v>
      </c>
      <c r="O64" s="99" t="s">
        <v>55</v>
      </c>
      <c r="P64" s="100">
        <f t="shared" si="19"/>
        <v>1</v>
      </c>
      <c r="Q64" s="101">
        <f t="shared" si="20"/>
        <v>2050000000</v>
      </c>
      <c r="R64" s="101">
        <f t="shared" si="21"/>
        <v>2050000000</v>
      </c>
      <c r="S64" s="102" t="s">
        <v>56</v>
      </c>
      <c r="T64" s="98">
        <f t="shared" si="22"/>
        <v>0</v>
      </c>
      <c r="U64" s="27" t="str">
        <f t="shared" si="23"/>
        <v>SUBDIRECCION DE GESTION CONTRACTUAL</v>
      </c>
      <c r="V64" s="91" t="str">
        <f t="shared" si="24"/>
        <v>CO-DC</v>
      </c>
      <c r="W64" s="27" t="str">
        <f t="shared" si="25"/>
        <v>Distrito Capital de Bogotá</v>
      </c>
      <c r="X64" s="103" t="s">
        <v>154</v>
      </c>
      <c r="Y64" s="91">
        <v>2427400</v>
      </c>
      <c r="Z64" s="85" t="s">
        <v>155</v>
      </c>
    </row>
    <row r="65" spans="1:26" s="5" customFormat="1" ht="12.75" hidden="1" customHeight="1" x14ac:dyDescent="0.25">
      <c r="A65" s="90" t="s">
        <v>150</v>
      </c>
      <c r="B65" s="91">
        <v>11</v>
      </c>
      <c r="C65" s="92" t="s">
        <v>173</v>
      </c>
      <c r="D65" s="92" t="s">
        <v>165</v>
      </c>
      <c r="E65" s="93"/>
      <c r="F65" s="93">
        <f>2719000000-500000000-800000000</f>
        <v>1419000000</v>
      </c>
      <c r="G65" s="93"/>
      <c r="H65" s="94" t="s">
        <v>67</v>
      </c>
      <c r="I65" s="76" t="s">
        <v>156</v>
      </c>
      <c r="J65" s="95">
        <v>2</v>
      </c>
      <c r="K65" s="96">
        <v>3</v>
      </c>
      <c r="L65" s="97">
        <v>9</v>
      </c>
      <c r="M65" s="91">
        <f t="shared" si="18"/>
        <v>1</v>
      </c>
      <c r="N65" s="98" t="s">
        <v>69</v>
      </c>
      <c r="O65" s="99" t="s">
        <v>70</v>
      </c>
      <c r="P65" s="100">
        <f t="shared" si="19"/>
        <v>1</v>
      </c>
      <c r="Q65" s="101">
        <f t="shared" si="20"/>
        <v>1419000000</v>
      </c>
      <c r="R65" s="101">
        <f t="shared" si="21"/>
        <v>1419000000</v>
      </c>
      <c r="S65" s="102" t="s">
        <v>56</v>
      </c>
      <c r="T65" s="98">
        <f t="shared" si="22"/>
        <v>0</v>
      </c>
      <c r="U65" s="27" t="str">
        <f t="shared" si="23"/>
        <v>SUBDIRECCION DE GESTION CONTRACTUAL</v>
      </c>
      <c r="V65" s="91" t="str">
        <f t="shared" si="24"/>
        <v>CO-DC</v>
      </c>
      <c r="W65" s="27" t="str">
        <f t="shared" si="25"/>
        <v>Distrito Capital de Bogotá</v>
      </c>
      <c r="X65" s="103" t="s">
        <v>154</v>
      </c>
      <c r="Y65" s="91">
        <v>2427400</v>
      </c>
      <c r="Z65" s="85" t="s">
        <v>155</v>
      </c>
    </row>
    <row r="66" spans="1:26" s="5" customFormat="1" ht="12.75" hidden="1" customHeight="1" x14ac:dyDescent="0.25">
      <c r="A66" s="90" t="s">
        <v>150</v>
      </c>
      <c r="B66" s="91">
        <v>12</v>
      </c>
      <c r="C66" s="92" t="s">
        <v>173</v>
      </c>
      <c r="D66" s="92" t="s">
        <v>165</v>
      </c>
      <c r="E66" s="93"/>
      <c r="F66" s="93">
        <v>1500000000</v>
      </c>
      <c r="G66" s="93"/>
      <c r="H66" s="94" t="s">
        <v>169</v>
      </c>
      <c r="I66" s="76" t="s">
        <v>170</v>
      </c>
      <c r="J66" s="95">
        <v>8</v>
      </c>
      <c r="K66" s="96" t="s">
        <v>171</v>
      </c>
      <c r="L66" s="97">
        <v>4</v>
      </c>
      <c r="M66" s="91">
        <f t="shared" si="18"/>
        <v>1</v>
      </c>
      <c r="N66" s="98" t="s">
        <v>64</v>
      </c>
      <c r="O66" s="99" t="s">
        <v>65</v>
      </c>
      <c r="P66" s="100">
        <f t="shared" si="19"/>
        <v>1</v>
      </c>
      <c r="Q66" s="101">
        <f t="shared" si="20"/>
        <v>1500000000</v>
      </c>
      <c r="R66" s="101">
        <f t="shared" si="21"/>
        <v>1500000000</v>
      </c>
      <c r="S66" s="102" t="s">
        <v>56</v>
      </c>
      <c r="T66" s="98">
        <f t="shared" si="22"/>
        <v>0</v>
      </c>
      <c r="U66" s="27" t="str">
        <f t="shared" si="23"/>
        <v>SUBDIRECCION DE GESTION CONTRACTUAL</v>
      </c>
      <c r="V66" s="91" t="str">
        <f t="shared" si="24"/>
        <v>CO-DC</v>
      </c>
      <c r="W66" s="27" t="str">
        <f t="shared" si="25"/>
        <v>Distrito Capital de Bogotá</v>
      </c>
      <c r="X66" s="103" t="s">
        <v>154</v>
      </c>
      <c r="Y66" s="91">
        <v>2427400</v>
      </c>
      <c r="Z66" s="85" t="s">
        <v>155</v>
      </c>
    </row>
    <row r="67" spans="1:26" s="5" customFormat="1" ht="12.75" hidden="1" customHeight="1" x14ac:dyDescent="0.2">
      <c r="A67" s="90" t="s">
        <v>150</v>
      </c>
      <c r="B67" s="91">
        <v>13</v>
      </c>
      <c r="C67" s="92" t="s">
        <v>173</v>
      </c>
      <c r="D67" s="92" t="s">
        <v>165</v>
      </c>
      <c r="E67" s="93"/>
      <c r="F67" s="93">
        <f>1500000000-200000000</f>
        <v>1300000000</v>
      </c>
      <c r="G67" s="93"/>
      <c r="H67" s="139" t="s">
        <v>174</v>
      </c>
      <c r="I67" s="76" t="s">
        <v>175</v>
      </c>
      <c r="J67" s="95">
        <v>8</v>
      </c>
      <c r="K67" s="96" t="s">
        <v>171</v>
      </c>
      <c r="L67" s="97">
        <v>4</v>
      </c>
      <c r="M67" s="91">
        <f t="shared" si="18"/>
        <v>1</v>
      </c>
      <c r="N67" s="98" t="s">
        <v>64</v>
      </c>
      <c r="O67" s="99" t="s">
        <v>65</v>
      </c>
      <c r="P67" s="100">
        <f t="shared" si="19"/>
        <v>1</v>
      </c>
      <c r="Q67" s="101">
        <f t="shared" si="20"/>
        <v>1300000000</v>
      </c>
      <c r="R67" s="101">
        <f t="shared" si="21"/>
        <v>1300000000</v>
      </c>
      <c r="S67" s="102" t="s">
        <v>56</v>
      </c>
      <c r="T67" s="98">
        <f t="shared" si="22"/>
        <v>0</v>
      </c>
      <c r="U67" s="27" t="str">
        <f t="shared" si="23"/>
        <v>SUBDIRECCION DE GESTION CONTRACTUAL</v>
      </c>
      <c r="V67" s="91" t="str">
        <f t="shared" si="24"/>
        <v>CO-DC</v>
      </c>
      <c r="W67" s="27" t="str">
        <f t="shared" si="25"/>
        <v>Distrito Capital de Bogotá</v>
      </c>
      <c r="X67" s="103" t="s">
        <v>154</v>
      </c>
      <c r="Y67" s="91">
        <v>2427400</v>
      </c>
      <c r="Z67" s="105" t="s">
        <v>155</v>
      </c>
    </row>
    <row r="68" spans="1:26" s="5" customFormat="1" ht="12.75" hidden="1" customHeight="1" x14ac:dyDescent="0.25">
      <c r="A68" s="90" t="s">
        <v>150</v>
      </c>
      <c r="B68" s="91">
        <v>14</v>
      </c>
      <c r="C68" s="92" t="s">
        <v>173</v>
      </c>
      <c r="D68" s="92" t="s">
        <v>165</v>
      </c>
      <c r="E68" s="93"/>
      <c r="F68" s="93">
        <v>500000000</v>
      </c>
      <c r="G68" s="93"/>
      <c r="H68" s="139" t="s">
        <v>174</v>
      </c>
      <c r="I68" s="76" t="s">
        <v>176</v>
      </c>
      <c r="J68" s="95">
        <v>8</v>
      </c>
      <c r="K68" s="96" t="s">
        <v>171</v>
      </c>
      <c r="L68" s="97">
        <v>4</v>
      </c>
      <c r="M68" s="91">
        <f t="shared" si="18"/>
        <v>1</v>
      </c>
      <c r="N68" s="98" t="s">
        <v>64</v>
      </c>
      <c r="O68" s="99" t="s">
        <v>65</v>
      </c>
      <c r="P68" s="100">
        <f t="shared" si="19"/>
        <v>1</v>
      </c>
      <c r="Q68" s="101">
        <f t="shared" si="20"/>
        <v>500000000</v>
      </c>
      <c r="R68" s="101">
        <f t="shared" si="21"/>
        <v>500000000</v>
      </c>
      <c r="S68" s="102" t="s">
        <v>56</v>
      </c>
      <c r="T68" s="98">
        <f t="shared" si="22"/>
        <v>0</v>
      </c>
      <c r="U68" s="27" t="str">
        <f t="shared" si="23"/>
        <v>SUBDIRECCION DE GESTION CONTRACTUAL</v>
      </c>
      <c r="V68" s="91" t="str">
        <f t="shared" si="24"/>
        <v>CO-DC</v>
      </c>
      <c r="W68" s="27" t="str">
        <f t="shared" si="25"/>
        <v>Distrito Capital de Bogotá</v>
      </c>
      <c r="X68" s="103" t="s">
        <v>154</v>
      </c>
      <c r="Y68" s="91">
        <v>2427400</v>
      </c>
      <c r="Z68" s="85" t="s">
        <v>155</v>
      </c>
    </row>
    <row r="69" spans="1:26" s="5" customFormat="1" ht="12.75" hidden="1" customHeight="1" x14ac:dyDescent="0.25">
      <c r="A69" s="90" t="s">
        <v>150</v>
      </c>
      <c r="B69" s="91">
        <v>15</v>
      </c>
      <c r="C69" s="92" t="s">
        <v>173</v>
      </c>
      <c r="D69" s="92" t="s">
        <v>165</v>
      </c>
      <c r="E69" s="93"/>
      <c r="F69" s="93">
        <v>400000000</v>
      </c>
      <c r="G69" s="93"/>
      <c r="H69" s="139" t="s">
        <v>157</v>
      </c>
      <c r="I69" s="27" t="s">
        <v>158</v>
      </c>
      <c r="J69" s="95">
        <v>10</v>
      </c>
      <c r="K69" s="96" t="s">
        <v>168</v>
      </c>
      <c r="L69" s="97">
        <v>2</v>
      </c>
      <c r="M69" s="91">
        <f t="shared" si="18"/>
        <v>1</v>
      </c>
      <c r="N69" s="98" t="s">
        <v>64</v>
      </c>
      <c r="O69" s="99" t="s">
        <v>65</v>
      </c>
      <c r="P69" s="100">
        <f t="shared" si="19"/>
        <v>1</v>
      </c>
      <c r="Q69" s="101">
        <f t="shared" si="20"/>
        <v>400000000</v>
      </c>
      <c r="R69" s="101">
        <f t="shared" si="21"/>
        <v>400000000</v>
      </c>
      <c r="S69" s="102" t="s">
        <v>56</v>
      </c>
      <c r="T69" s="98">
        <f t="shared" si="22"/>
        <v>0</v>
      </c>
      <c r="U69" s="27" t="str">
        <f t="shared" si="23"/>
        <v>SUBDIRECCION DE GESTION CONTRACTUAL</v>
      </c>
      <c r="V69" s="91" t="str">
        <f t="shared" si="24"/>
        <v>CO-DC</v>
      </c>
      <c r="W69" s="27" t="str">
        <f t="shared" si="25"/>
        <v>Distrito Capital de Bogotá</v>
      </c>
      <c r="X69" s="103" t="s">
        <v>159</v>
      </c>
      <c r="Y69" s="91">
        <v>2427400</v>
      </c>
      <c r="Z69" s="140" t="s">
        <v>160</v>
      </c>
    </row>
    <row r="70" spans="1:26" s="5" customFormat="1" ht="12.75" hidden="1" customHeight="1" x14ac:dyDescent="0.25">
      <c r="A70" s="90" t="s">
        <v>150</v>
      </c>
      <c r="B70" s="91">
        <v>16</v>
      </c>
      <c r="C70" s="92" t="s">
        <v>151</v>
      </c>
      <c r="D70" s="92" t="s">
        <v>165</v>
      </c>
      <c r="E70" s="93"/>
      <c r="F70" s="93">
        <f>1600000000-550000000</f>
        <v>1050000000</v>
      </c>
      <c r="G70" s="93"/>
      <c r="H70" s="94">
        <v>80111600</v>
      </c>
      <c r="I70" s="76" t="s">
        <v>153</v>
      </c>
      <c r="J70" s="95">
        <v>1</v>
      </c>
      <c r="K70" s="96">
        <v>1</v>
      </c>
      <c r="L70" s="97">
        <v>12</v>
      </c>
      <c r="M70" s="91">
        <f t="shared" si="18"/>
        <v>1</v>
      </c>
      <c r="N70" s="98" t="s">
        <v>54</v>
      </c>
      <c r="O70" s="99" t="s">
        <v>55</v>
      </c>
      <c r="P70" s="100">
        <f t="shared" si="19"/>
        <v>1</v>
      </c>
      <c r="Q70" s="101">
        <f t="shared" si="20"/>
        <v>1050000000</v>
      </c>
      <c r="R70" s="101">
        <f t="shared" si="21"/>
        <v>1050000000</v>
      </c>
      <c r="S70" s="102" t="s">
        <v>56</v>
      </c>
      <c r="T70" s="98">
        <f t="shared" si="22"/>
        <v>0</v>
      </c>
      <c r="U70" s="27" t="str">
        <f t="shared" si="23"/>
        <v>SUBDIRECCION DE GESTION CONTRACTUAL</v>
      </c>
      <c r="V70" s="91" t="str">
        <f t="shared" si="24"/>
        <v>CO-DC</v>
      </c>
      <c r="W70" s="27" t="str">
        <f t="shared" si="25"/>
        <v>Distrito Capital de Bogotá</v>
      </c>
      <c r="X70" s="103" t="s">
        <v>154</v>
      </c>
      <c r="Y70" s="91">
        <v>2427400</v>
      </c>
      <c r="Z70" s="85" t="s">
        <v>155</v>
      </c>
    </row>
    <row r="71" spans="1:26" s="5" customFormat="1" ht="12.75" hidden="1" customHeight="1" x14ac:dyDescent="0.25">
      <c r="A71" s="90" t="s">
        <v>150</v>
      </c>
      <c r="B71" s="91">
        <v>17</v>
      </c>
      <c r="C71" s="92" t="s">
        <v>151</v>
      </c>
      <c r="D71" s="92" t="s">
        <v>165</v>
      </c>
      <c r="E71" s="93"/>
      <c r="F71" s="93">
        <f>1100000000-100000000</f>
        <v>1000000000</v>
      </c>
      <c r="G71" s="93"/>
      <c r="H71" s="94" t="s">
        <v>67</v>
      </c>
      <c r="I71" s="76" t="s">
        <v>156</v>
      </c>
      <c r="J71" s="95">
        <v>2</v>
      </c>
      <c r="K71" s="96">
        <v>3</v>
      </c>
      <c r="L71" s="97">
        <v>9</v>
      </c>
      <c r="M71" s="91">
        <f t="shared" si="18"/>
        <v>1</v>
      </c>
      <c r="N71" s="98" t="s">
        <v>69</v>
      </c>
      <c r="O71" s="99" t="s">
        <v>70</v>
      </c>
      <c r="P71" s="100">
        <f t="shared" si="19"/>
        <v>1</v>
      </c>
      <c r="Q71" s="101">
        <f t="shared" si="20"/>
        <v>1000000000</v>
      </c>
      <c r="R71" s="101">
        <f t="shared" si="21"/>
        <v>1000000000</v>
      </c>
      <c r="S71" s="102" t="s">
        <v>56</v>
      </c>
      <c r="T71" s="98">
        <f t="shared" si="22"/>
        <v>0</v>
      </c>
      <c r="U71" s="27" t="str">
        <f t="shared" si="23"/>
        <v>SUBDIRECCION DE GESTION CONTRACTUAL</v>
      </c>
      <c r="V71" s="91" t="str">
        <f t="shared" si="24"/>
        <v>CO-DC</v>
      </c>
      <c r="W71" s="27" t="str">
        <f t="shared" si="25"/>
        <v>Distrito Capital de Bogotá</v>
      </c>
      <c r="X71" s="103" t="s">
        <v>154</v>
      </c>
      <c r="Y71" s="91">
        <v>2427400</v>
      </c>
      <c r="Z71" s="85" t="s">
        <v>155</v>
      </c>
    </row>
    <row r="72" spans="1:26" s="5" customFormat="1" ht="12.75" hidden="1" customHeight="1" x14ac:dyDescent="0.25">
      <c r="A72" s="90" t="s">
        <v>150</v>
      </c>
      <c r="B72" s="91">
        <v>18</v>
      </c>
      <c r="C72" s="92" t="s">
        <v>151</v>
      </c>
      <c r="D72" s="92" t="s">
        <v>165</v>
      </c>
      <c r="E72" s="93"/>
      <c r="F72" s="93">
        <v>900000000</v>
      </c>
      <c r="G72" s="93"/>
      <c r="H72" s="94" t="s">
        <v>169</v>
      </c>
      <c r="I72" s="76" t="s">
        <v>170</v>
      </c>
      <c r="J72" s="95">
        <v>8</v>
      </c>
      <c r="K72" s="96" t="s">
        <v>171</v>
      </c>
      <c r="L72" s="97">
        <v>4</v>
      </c>
      <c r="M72" s="91">
        <f t="shared" si="18"/>
        <v>1</v>
      </c>
      <c r="N72" s="98" t="s">
        <v>64</v>
      </c>
      <c r="O72" s="99" t="s">
        <v>65</v>
      </c>
      <c r="P72" s="100">
        <f t="shared" si="19"/>
        <v>1</v>
      </c>
      <c r="Q72" s="101">
        <f t="shared" si="20"/>
        <v>900000000</v>
      </c>
      <c r="R72" s="101">
        <f t="shared" si="21"/>
        <v>900000000</v>
      </c>
      <c r="S72" s="102" t="s">
        <v>56</v>
      </c>
      <c r="T72" s="98">
        <f t="shared" si="22"/>
        <v>0</v>
      </c>
      <c r="U72" s="27" t="str">
        <f t="shared" si="23"/>
        <v>SUBDIRECCION DE GESTION CONTRACTUAL</v>
      </c>
      <c r="V72" s="91" t="str">
        <f t="shared" si="24"/>
        <v>CO-DC</v>
      </c>
      <c r="W72" s="27" t="str">
        <f t="shared" si="25"/>
        <v>Distrito Capital de Bogotá</v>
      </c>
      <c r="X72" s="103" t="s">
        <v>154</v>
      </c>
      <c r="Y72" s="91">
        <v>2427400</v>
      </c>
      <c r="Z72" s="85" t="s">
        <v>155</v>
      </c>
    </row>
    <row r="73" spans="1:26" s="5" customFormat="1" ht="12.75" hidden="1" customHeight="1" x14ac:dyDescent="0.25">
      <c r="A73" s="90" t="s">
        <v>150</v>
      </c>
      <c r="B73" s="91">
        <v>19</v>
      </c>
      <c r="C73" s="92" t="s">
        <v>151</v>
      </c>
      <c r="D73" s="92" t="s">
        <v>165</v>
      </c>
      <c r="E73" s="93"/>
      <c r="F73" s="93">
        <f>1700000000-1700000000</f>
        <v>0</v>
      </c>
      <c r="G73" s="93"/>
      <c r="H73" s="94" t="s">
        <v>177</v>
      </c>
      <c r="I73" s="76" t="s">
        <v>178</v>
      </c>
      <c r="J73" s="95">
        <v>5</v>
      </c>
      <c r="K73" s="96">
        <v>5</v>
      </c>
      <c r="L73" s="97">
        <v>6</v>
      </c>
      <c r="M73" s="91">
        <f t="shared" si="18"/>
        <v>1</v>
      </c>
      <c r="N73" s="98" t="s">
        <v>64</v>
      </c>
      <c r="O73" s="99" t="s">
        <v>65</v>
      </c>
      <c r="P73" s="100">
        <f t="shared" si="19"/>
        <v>1</v>
      </c>
      <c r="Q73" s="101">
        <f t="shared" si="20"/>
        <v>0</v>
      </c>
      <c r="R73" s="101">
        <f t="shared" si="21"/>
        <v>0</v>
      </c>
      <c r="S73" s="102" t="s">
        <v>56</v>
      </c>
      <c r="T73" s="98">
        <f t="shared" si="22"/>
        <v>0</v>
      </c>
      <c r="U73" s="27" t="str">
        <f t="shared" si="23"/>
        <v>SUBDIRECCION DE GESTION CONTRACTUAL</v>
      </c>
      <c r="V73" s="91" t="str">
        <f t="shared" si="24"/>
        <v>CO-DC</v>
      </c>
      <c r="W73" s="27" t="str">
        <f t="shared" si="25"/>
        <v>Distrito Capital de Bogotá</v>
      </c>
      <c r="X73" s="103" t="s">
        <v>154</v>
      </c>
      <c r="Y73" s="91">
        <v>2427400</v>
      </c>
      <c r="Z73" s="85" t="s">
        <v>155</v>
      </c>
    </row>
    <row r="74" spans="1:26" s="5" customFormat="1" ht="12.75" hidden="1" customHeight="1" x14ac:dyDescent="0.25">
      <c r="A74" s="90" t="s">
        <v>150</v>
      </c>
      <c r="B74" s="91">
        <v>20</v>
      </c>
      <c r="C74" s="92" t="s">
        <v>151</v>
      </c>
      <c r="D74" s="92" t="s">
        <v>165</v>
      </c>
      <c r="E74" s="93"/>
      <c r="F74" s="93">
        <v>180000000</v>
      </c>
      <c r="G74" s="93"/>
      <c r="H74" s="139" t="s">
        <v>157</v>
      </c>
      <c r="I74" s="27" t="s">
        <v>158</v>
      </c>
      <c r="J74" s="95">
        <v>10</v>
      </c>
      <c r="K74" s="96" t="s">
        <v>168</v>
      </c>
      <c r="L74" s="97">
        <v>2</v>
      </c>
      <c r="M74" s="91">
        <f t="shared" si="18"/>
        <v>1</v>
      </c>
      <c r="N74" s="98" t="s">
        <v>64</v>
      </c>
      <c r="O74" s="99" t="s">
        <v>65</v>
      </c>
      <c r="P74" s="100">
        <f t="shared" si="19"/>
        <v>1</v>
      </c>
      <c r="Q74" s="101">
        <f t="shared" si="20"/>
        <v>180000000</v>
      </c>
      <c r="R74" s="101">
        <f t="shared" si="21"/>
        <v>180000000</v>
      </c>
      <c r="S74" s="102" t="s">
        <v>56</v>
      </c>
      <c r="T74" s="98">
        <f t="shared" si="22"/>
        <v>0</v>
      </c>
      <c r="U74" s="27" t="str">
        <f t="shared" si="23"/>
        <v>SUBDIRECCION DE GESTION CONTRACTUAL</v>
      </c>
      <c r="V74" s="91" t="str">
        <f t="shared" si="24"/>
        <v>CO-DC</v>
      </c>
      <c r="W74" s="27" t="str">
        <f t="shared" si="25"/>
        <v>Distrito Capital de Bogotá</v>
      </c>
      <c r="X74" s="103" t="s">
        <v>159</v>
      </c>
      <c r="Y74" s="91">
        <v>2427400</v>
      </c>
      <c r="Z74" s="140" t="s">
        <v>160</v>
      </c>
    </row>
    <row r="75" spans="1:26" s="5" customFormat="1" ht="12.75" hidden="1" customHeight="1" x14ac:dyDescent="0.25">
      <c r="A75" s="90" t="s">
        <v>150</v>
      </c>
      <c r="B75" s="91">
        <v>21</v>
      </c>
      <c r="C75" s="92" t="s">
        <v>151</v>
      </c>
      <c r="D75" s="92" t="s">
        <v>165</v>
      </c>
      <c r="E75" s="93"/>
      <c r="F75" s="93">
        <f>250000000-250000000+400000000</f>
        <v>400000000</v>
      </c>
      <c r="G75" s="93"/>
      <c r="H75" s="94" t="s">
        <v>177</v>
      </c>
      <c r="I75" s="76" t="s">
        <v>179</v>
      </c>
      <c r="J75" s="95">
        <v>8</v>
      </c>
      <c r="K75" s="96" t="s">
        <v>171</v>
      </c>
      <c r="L75" s="97">
        <v>4</v>
      </c>
      <c r="M75" s="91">
        <f t="shared" si="18"/>
        <v>1</v>
      </c>
      <c r="N75" s="98" t="s">
        <v>64</v>
      </c>
      <c r="O75" s="99" t="s">
        <v>65</v>
      </c>
      <c r="P75" s="100">
        <f t="shared" si="19"/>
        <v>1</v>
      </c>
      <c r="Q75" s="101">
        <f t="shared" si="20"/>
        <v>400000000</v>
      </c>
      <c r="R75" s="101">
        <f t="shared" si="21"/>
        <v>400000000</v>
      </c>
      <c r="S75" s="102" t="s">
        <v>56</v>
      </c>
      <c r="T75" s="98">
        <f t="shared" si="22"/>
        <v>0</v>
      </c>
      <c r="U75" s="27" t="str">
        <f t="shared" si="23"/>
        <v>SUBDIRECCION DE GESTION CONTRACTUAL</v>
      </c>
      <c r="V75" s="91" t="str">
        <f t="shared" si="24"/>
        <v>CO-DC</v>
      </c>
      <c r="W75" s="27" t="str">
        <f t="shared" si="25"/>
        <v>Distrito Capital de Bogotá</v>
      </c>
      <c r="X75" s="103" t="s">
        <v>154</v>
      </c>
      <c r="Y75" s="91">
        <v>2427400</v>
      </c>
      <c r="Z75" s="85" t="s">
        <v>155</v>
      </c>
    </row>
    <row r="76" spans="1:26" s="5" customFormat="1" ht="12.75" hidden="1" customHeight="1" x14ac:dyDescent="0.25">
      <c r="A76" s="90" t="s">
        <v>150</v>
      </c>
      <c r="B76" s="91">
        <v>22</v>
      </c>
      <c r="C76" s="92" t="s">
        <v>180</v>
      </c>
      <c r="D76" s="92" t="s">
        <v>181</v>
      </c>
      <c r="E76" s="93"/>
      <c r="F76" s="93">
        <f>400000000-400000000</f>
        <v>0</v>
      </c>
      <c r="G76" s="93"/>
      <c r="H76" s="94" t="s">
        <v>177</v>
      </c>
      <c r="I76" s="76" t="s">
        <v>179</v>
      </c>
      <c r="J76" s="95">
        <v>6</v>
      </c>
      <c r="K76" s="96">
        <v>6</v>
      </c>
      <c r="L76" s="97">
        <v>5</v>
      </c>
      <c r="M76" s="91">
        <f t="shared" si="18"/>
        <v>1</v>
      </c>
      <c r="N76" s="98" t="s">
        <v>64</v>
      </c>
      <c r="O76" s="99" t="s">
        <v>65</v>
      </c>
      <c r="P76" s="100">
        <f t="shared" si="19"/>
        <v>1</v>
      </c>
      <c r="Q76" s="101">
        <f t="shared" si="20"/>
        <v>0</v>
      </c>
      <c r="R76" s="101">
        <f t="shared" si="21"/>
        <v>0</v>
      </c>
      <c r="S76" s="102" t="s">
        <v>56</v>
      </c>
      <c r="T76" s="98">
        <f t="shared" si="22"/>
        <v>0</v>
      </c>
      <c r="U76" s="27" t="str">
        <f t="shared" si="23"/>
        <v>SUBDIRECCION DE GESTION CONTRACTUAL</v>
      </c>
      <c r="V76" s="91" t="str">
        <f t="shared" si="24"/>
        <v>CO-DC</v>
      </c>
      <c r="W76" s="27" t="str">
        <f t="shared" si="25"/>
        <v>Distrito Capital de Bogotá</v>
      </c>
      <c r="X76" s="103" t="s">
        <v>154</v>
      </c>
      <c r="Y76" s="91">
        <v>2427400</v>
      </c>
      <c r="Z76" s="85" t="s">
        <v>155</v>
      </c>
    </row>
    <row r="77" spans="1:26" s="5" customFormat="1" ht="12.75" hidden="1" customHeight="1" x14ac:dyDescent="0.25">
      <c r="A77" s="90" t="s">
        <v>150</v>
      </c>
      <c r="B77" s="91">
        <v>23</v>
      </c>
      <c r="C77" s="92" t="s">
        <v>180</v>
      </c>
      <c r="D77" s="92" t="s">
        <v>181</v>
      </c>
      <c r="E77" s="93"/>
      <c r="F77" s="93">
        <v>500000000</v>
      </c>
      <c r="G77" s="93"/>
      <c r="H77" s="94" t="s">
        <v>169</v>
      </c>
      <c r="I77" s="76" t="s">
        <v>170</v>
      </c>
      <c r="J77" s="95">
        <v>8</v>
      </c>
      <c r="K77" s="96" t="s">
        <v>171</v>
      </c>
      <c r="L77" s="97">
        <v>4</v>
      </c>
      <c r="M77" s="91">
        <f t="shared" si="18"/>
        <v>1</v>
      </c>
      <c r="N77" s="98" t="s">
        <v>64</v>
      </c>
      <c r="O77" s="99" t="s">
        <v>65</v>
      </c>
      <c r="P77" s="100">
        <f t="shared" si="19"/>
        <v>1</v>
      </c>
      <c r="Q77" s="101">
        <f t="shared" si="20"/>
        <v>500000000</v>
      </c>
      <c r="R77" s="101">
        <f t="shared" si="21"/>
        <v>500000000</v>
      </c>
      <c r="S77" s="102" t="s">
        <v>56</v>
      </c>
      <c r="T77" s="98">
        <f t="shared" si="22"/>
        <v>0</v>
      </c>
      <c r="U77" s="27" t="str">
        <f t="shared" si="23"/>
        <v>SUBDIRECCION DE GESTION CONTRACTUAL</v>
      </c>
      <c r="V77" s="91" t="str">
        <f t="shared" si="24"/>
        <v>CO-DC</v>
      </c>
      <c r="W77" s="27" t="str">
        <f t="shared" si="25"/>
        <v>Distrito Capital de Bogotá</v>
      </c>
      <c r="X77" s="103" t="s">
        <v>154</v>
      </c>
      <c r="Y77" s="91">
        <v>2427400</v>
      </c>
      <c r="Z77" s="85" t="s">
        <v>155</v>
      </c>
    </row>
    <row r="78" spans="1:26" s="5" customFormat="1" ht="12.75" hidden="1" customHeight="1" x14ac:dyDescent="0.25">
      <c r="A78" s="90" t="s">
        <v>150</v>
      </c>
      <c r="B78" s="91">
        <v>24</v>
      </c>
      <c r="C78" s="92" t="s">
        <v>180</v>
      </c>
      <c r="D78" s="92" t="s">
        <v>181</v>
      </c>
      <c r="E78" s="93"/>
      <c r="F78" s="93">
        <f>21615000000+10000000000-280000000</f>
        <v>31335000000</v>
      </c>
      <c r="G78" s="93"/>
      <c r="H78" s="94" t="s">
        <v>182</v>
      </c>
      <c r="I78" s="76" t="s">
        <v>183</v>
      </c>
      <c r="J78" s="95">
        <v>5</v>
      </c>
      <c r="K78" s="96">
        <v>5</v>
      </c>
      <c r="L78" s="97">
        <v>6</v>
      </c>
      <c r="M78" s="91">
        <f t="shared" si="18"/>
        <v>1</v>
      </c>
      <c r="N78" s="98" t="s">
        <v>64</v>
      </c>
      <c r="O78" s="99" t="s">
        <v>65</v>
      </c>
      <c r="P78" s="100">
        <f t="shared" si="19"/>
        <v>1</v>
      </c>
      <c r="Q78" s="101">
        <f t="shared" si="20"/>
        <v>31335000000</v>
      </c>
      <c r="R78" s="101">
        <f t="shared" si="21"/>
        <v>31335000000</v>
      </c>
      <c r="S78" s="102" t="s">
        <v>56</v>
      </c>
      <c r="T78" s="98">
        <f t="shared" si="22"/>
        <v>0</v>
      </c>
      <c r="U78" s="27" t="str">
        <f t="shared" si="23"/>
        <v>SUBDIRECCION DE GESTION CONTRACTUAL</v>
      </c>
      <c r="V78" s="91" t="str">
        <f t="shared" si="24"/>
        <v>CO-DC</v>
      </c>
      <c r="W78" s="27" t="str">
        <f t="shared" si="25"/>
        <v>Distrito Capital de Bogotá</v>
      </c>
      <c r="X78" s="103" t="s">
        <v>154</v>
      </c>
      <c r="Y78" s="91">
        <v>2427400</v>
      </c>
      <c r="Z78" s="85" t="s">
        <v>155</v>
      </c>
    </row>
    <row r="79" spans="1:26" s="5" customFormat="1" ht="12.75" hidden="1" customHeight="1" x14ac:dyDescent="0.25">
      <c r="A79" s="90" t="s">
        <v>150</v>
      </c>
      <c r="B79" s="91">
        <v>25</v>
      </c>
      <c r="C79" s="92" t="s">
        <v>180</v>
      </c>
      <c r="D79" s="92" t="s">
        <v>181</v>
      </c>
      <c r="E79" s="93"/>
      <c r="F79" s="93">
        <f>3615000000-1995000000</f>
        <v>1620000000</v>
      </c>
      <c r="G79" s="93"/>
      <c r="H79" s="94">
        <v>80111608</v>
      </c>
      <c r="I79" s="76" t="s">
        <v>184</v>
      </c>
      <c r="J79" s="95">
        <v>9</v>
      </c>
      <c r="K79" s="95">
        <v>9</v>
      </c>
      <c r="L79" s="97">
        <v>3</v>
      </c>
      <c r="M79" s="91">
        <f t="shared" si="18"/>
        <v>1</v>
      </c>
      <c r="N79" s="98" t="s">
        <v>64</v>
      </c>
      <c r="O79" s="99" t="s">
        <v>65</v>
      </c>
      <c r="P79" s="100">
        <f t="shared" si="19"/>
        <v>1</v>
      </c>
      <c r="Q79" s="101">
        <f t="shared" si="20"/>
        <v>1620000000</v>
      </c>
      <c r="R79" s="101">
        <f t="shared" si="21"/>
        <v>1620000000</v>
      </c>
      <c r="S79" s="102" t="s">
        <v>56</v>
      </c>
      <c r="T79" s="98">
        <f t="shared" si="22"/>
        <v>0</v>
      </c>
      <c r="U79" s="27" t="str">
        <f t="shared" si="23"/>
        <v>SUBDIRECCION DE GESTION CONTRACTUAL</v>
      </c>
      <c r="V79" s="91" t="str">
        <f t="shared" si="24"/>
        <v>CO-DC</v>
      </c>
      <c r="W79" s="27" t="str">
        <f t="shared" si="25"/>
        <v>Distrito Capital de Bogotá</v>
      </c>
      <c r="X79" s="103" t="s">
        <v>154</v>
      </c>
      <c r="Y79" s="91">
        <v>2427400</v>
      </c>
      <c r="Z79" s="85" t="s">
        <v>155</v>
      </c>
    </row>
    <row r="80" spans="1:26" s="5" customFormat="1" ht="12.75" hidden="1" customHeight="1" x14ac:dyDescent="0.25">
      <c r="A80" s="90" t="s">
        <v>150</v>
      </c>
      <c r="B80" s="91">
        <v>26</v>
      </c>
      <c r="C80" s="92" t="s">
        <v>180</v>
      </c>
      <c r="D80" s="92" t="s">
        <v>181</v>
      </c>
      <c r="E80" s="93"/>
      <c r="F80" s="93">
        <v>200000000</v>
      </c>
      <c r="G80" s="93"/>
      <c r="H80" s="139" t="s">
        <v>174</v>
      </c>
      <c r="I80" s="76" t="s">
        <v>176</v>
      </c>
      <c r="J80" s="95">
        <v>8</v>
      </c>
      <c r="K80" s="96" t="s">
        <v>171</v>
      </c>
      <c r="L80" s="97">
        <v>4</v>
      </c>
      <c r="M80" s="91">
        <f t="shared" si="18"/>
        <v>1</v>
      </c>
      <c r="N80" s="98" t="s">
        <v>64</v>
      </c>
      <c r="O80" s="99" t="s">
        <v>65</v>
      </c>
      <c r="P80" s="100">
        <f t="shared" si="19"/>
        <v>1</v>
      </c>
      <c r="Q80" s="101">
        <f t="shared" si="20"/>
        <v>200000000</v>
      </c>
      <c r="R80" s="101">
        <f t="shared" si="21"/>
        <v>200000000</v>
      </c>
      <c r="S80" s="102" t="s">
        <v>56</v>
      </c>
      <c r="T80" s="98">
        <f t="shared" si="22"/>
        <v>0</v>
      </c>
      <c r="U80" s="27" t="str">
        <f t="shared" si="23"/>
        <v>SUBDIRECCION DE GESTION CONTRACTUAL</v>
      </c>
      <c r="V80" s="91" t="str">
        <f t="shared" si="24"/>
        <v>CO-DC</v>
      </c>
      <c r="W80" s="27" t="str">
        <f t="shared" si="25"/>
        <v>Distrito Capital de Bogotá</v>
      </c>
      <c r="X80" s="103" t="s">
        <v>154</v>
      </c>
      <c r="Y80" s="91">
        <v>2427400</v>
      </c>
      <c r="Z80" s="85" t="s">
        <v>155</v>
      </c>
    </row>
    <row r="81" spans="1:26" s="5" customFormat="1" ht="12.75" hidden="1" customHeight="1" x14ac:dyDescent="0.25">
      <c r="A81" s="90" t="s">
        <v>150</v>
      </c>
      <c r="B81" s="91">
        <v>27</v>
      </c>
      <c r="C81" s="92" t="s">
        <v>164</v>
      </c>
      <c r="D81" s="92" t="s">
        <v>181</v>
      </c>
      <c r="E81" s="93"/>
      <c r="F81" s="93">
        <f>300000000-300000000</f>
        <v>0</v>
      </c>
      <c r="G81" s="93"/>
      <c r="H81" s="94" t="s">
        <v>177</v>
      </c>
      <c r="I81" s="76" t="s">
        <v>185</v>
      </c>
      <c r="J81" s="95">
        <v>5</v>
      </c>
      <c r="K81" s="96">
        <v>5</v>
      </c>
      <c r="L81" s="97">
        <v>6</v>
      </c>
      <c r="M81" s="91">
        <f t="shared" si="18"/>
        <v>1</v>
      </c>
      <c r="N81" s="98" t="s">
        <v>64</v>
      </c>
      <c r="O81" s="99" t="s">
        <v>65</v>
      </c>
      <c r="P81" s="100">
        <f t="shared" si="19"/>
        <v>1</v>
      </c>
      <c r="Q81" s="101">
        <f t="shared" si="20"/>
        <v>0</v>
      </c>
      <c r="R81" s="101">
        <f t="shared" si="21"/>
        <v>0</v>
      </c>
      <c r="S81" s="102" t="s">
        <v>56</v>
      </c>
      <c r="T81" s="98">
        <f t="shared" si="22"/>
        <v>0</v>
      </c>
      <c r="U81" s="27" t="str">
        <f t="shared" si="23"/>
        <v>SUBDIRECCION DE GESTION CONTRACTUAL</v>
      </c>
      <c r="V81" s="91" t="str">
        <f t="shared" si="24"/>
        <v>CO-DC</v>
      </c>
      <c r="W81" s="27" t="str">
        <f t="shared" si="25"/>
        <v>Distrito Capital de Bogotá</v>
      </c>
      <c r="X81" s="103" t="s">
        <v>154</v>
      </c>
      <c r="Y81" s="91">
        <v>2427400</v>
      </c>
      <c r="Z81" s="85" t="s">
        <v>155</v>
      </c>
    </row>
    <row r="82" spans="1:26" s="5" customFormat="1" ht="12.75" hidden="1" customHeight="1" x14ac:dyDescent="0.25">
      <c r="A82" s="90" t="s">
        <v>150</v>
      </c>
      <c r="B82" s="91">
        <v>28</v>
      </c>
      <c r="C82" s="92" t="s">
        <v>180</v>
      </c>
      <c r="D82" s="92" t="s">
        <v>181</v>
      </c>
      <c r="E82" s="93"/>
      <c r="F82" s="93">
        <f>2000000000-2000000000+4000000000</f>
        <v>4000000000</v>
      </c>
      <c r="G82" s="93"/>
      <c r="H82" s="94" t="s">
        <v>186</v>
      </c>
      <c r="I82" s="76" t="s">
        <v>187</v>
      </c>
      <c r="J82" s="95">
        <v>8</v>
      </c>
      <c r="K82" s="96" t="s">
        <v>171</v>
      </c>
      <c r="L82" s="97">
        <v>4</v>
      </c>
      <c r="M82" s="91">
        <f t="shared" si="18"/>
        <v>1</v>
      </c>
      <c r="N82" s="98" t="s">
        <v>64</v>
      </c>
      <c r="O82" s="99" t="s">
        <v>65</v>
      </c>
      <c r="P82" s="100">
        <f t="shared" si="19"/>
        <v>1</v>
      </c>
      <c r="Q82" s="101">
        <f t="shared" si="20"/>
        <v>4000000000</v>
      </c>
      <c r="R82" s="101">
        <f t="shared" si="21"/>
        <v>4000000000</v>
      </c>
      <c r="S82" s="102" t="s">
        <v>56</v>
      </c>
      <c r="T82" s="98">
        <f t="shared" si="22"/>
        <v>0</v>
      </c>
      <c r="U82" s="27" t="str">
        <f t="shared" si="23"/>
        <v>SUBDIRECCION DE GESTION CONTRACTUAL</v>
      </c>
      <c r="V82" s="91" t="str">
        <f t="shared" si="24"/>
        <v>CO-DC</v>
      </c>
      <c r="W82" s="27" t="str">
        <f t="shared" si="25"/>
        <v>Distrito Capital de Bogotá</v>
      </c>
      <c r="X82" s="103" t="s">
        <v>154</v>
      </c>
      <c r="Y82" s="91">
        <v>2427400</v>
      </c>
      <c r="Z82" s="85" t="s">
        <v>155</v>
      </c>
    </row>
    <row r="83" spans="1:26" s="5" customFormat="1" ht="12.75" hidden="1" customHeight="1" x14ac:dyDescent="0.25">
      <c r="A83" s="90" t="s">
        <v>150</v>
      </c>
      <c r="B83" s="91">
        <v>29</v>
      </c>
      <c r="C83" s="92" t="s">
        <v>180</v>
      </c>
      <c r="D83" s="92" t="s">
        <v>181</v>
      </c>
      <c r="E83" s="93"/>
      <c r="F83" s="93">
        <v>3050000000</v>
      </c>
      <c r="G83" s="93"/>
      <c r="H83" s="94" t="s">
        <v>67</v>
      </c>
      <c r="I83" s="76" t="s">
        <v>156</v>
      </c>
      <c r="J83" s="95">
        <v>2</v>
      </c>
      <c r="K83" s="96">
        <v>3</v>
      </c>
      <c r="L83" s="97">
        <v>9</v>
      </c>
      <c r="M83" s="91">
        <f t="shared" si="18"/>
        <v>1</v>
      </c>
      <c r="N83" s="98" t="s">
        <v>69</v>
      </c>
      <c r="O83" s="99" t="s">
        <v>70</v>
      </c>
      <c r="P83" s="100">
        <f t="shared" si="19"/>
        <v>1</v>
      </c>
      <c r="Q83" s="101">
        <f t="shared" si="20"/>
        <v>3050000000</v>
      </c>
      <c r="R83" s="101">
        <f t="shared" si="21"/>
        <v>3050000000</v>
      </c>
      <c r="S83" s="102" t="s">
        <v>56</v>
      </c>
      <c r="T83" s="98">
        <f t="shared" si="22"/>
        <v>0</v>
      </c>
      <c r="U83" s="27" t="str">
        <f t="shared" si="23"/>
        <v>SUBDIRECCION DE GESTION CONTRACTUAL</v>
      </c>
      <c r="V83" s="91" t="str">
        <f t="shared" si="24"/>
        <v>CO-DC</v>
      </c>
      <c r="W83" s="27" t="str">
        <f t="shared" si="25"/>
        <v>Distrito Capital de Bogotá</v>
      </c>
      <c r="X83" s="103" t="s">
        <v>154</v>
      </c>
      <c r="Y83" s="91">
        <v>2427400</v>
      </c>
      <c r="Z83" s="85" t="s">
        <v>155</v>
      </c>
    </row>
    <row r="84" spans="1:26" s="5" customFormat="1" ht="12.75" hidden="1" customHeight="1" x14ac:dyDescent="0.25">
      <c r="A84" s="90" t="s">
        <v>150</v>
      </c>
      <c r="B84" s="91">
        <v>30</v>
      </c>
      <c r="C84" s="92" t="s">
        <v>180</v>
      </c>
      <c r="D84" s="92" t="s">
        <v>181</v>
      </c>
      <c r="E84" s="93"/>
      <c r="F84" s="93">
        <f>300000000+700000000</f>
        <v>1000000000</v>
      </c>
      <c r="G84" s="93"/>
      <c r="H84" s="94" t="s">
        <v>177</v>
      </c>
      <c r="I84" s="76" t="s">
        <v>188</v>
      </c>
      <c r="J84" s="95">
        <v>6</v>
      </c>
      <c r="K84" s="95">
        <v>6</v>
      </c>
      <c r="L84" s="97">
        <v>5</v>
      </c>
      <c r="M84" s="91">
        <f t="shared" si="18"/>
        <v>1</v>
      </c>
      <c r="N84" s="98" t="s">
        <v>64</v>
      </c>
      <c r="O84" s="99" t="s">
        <v>65</v>
      </c>
      <c r="P84" s="100">
        <f t="shared" si="19"/>
        <v>1</v>
      </c>
      <c r="Q84" s="101">
        <f t="shared" si="20"/>
        <v>1000000000</v>
      </c>
      <c r="R84" s="101">
        <f t="shared" si="21"/>
        <v>1000000000</v>
      </c>
      <c r="S84" s="102" t="s">
        <v>56</v>
      </c>
      <c r="T84" s="98">
        <f t="shared" si="22"/>
        <v>0</v>
      </c>
      <c r="U84" s="27" t="str">
        <f t="shared" si="23"/>
        <v>SUBDIRECCION DE GESTION CONTRACTUAL</v>
      </c>
      <c r="V84" s="91" t="str">
        <f t="shared" si="24"/>
        <v>CO-DC</v>
      </c>
      <c r="W84" s="27" t="str">
        <f t="shared" si="25"/>
        <v>Distrito Capital de Bogotá</v>
      </c>
      <c r="X84" s="103" t="s">
        <v>154</v>
      </c>
      <c r="Y84" s="91">
        <v>2427400</v>
      </c>
      <c r="Z84" s="85" t="s">
        <v>155</v>
      </c>
    </row>
    <row r="85" spans="1:26" s="5" customFormat="1" ht="12.75" hidden="1" customHeight="1" x14ac:dyDescent="0.25">
      <c r="A85" s="90" t="s">
        <v>150</v>
      </c>
      <c r="B85" s="91">
        <v>31</v>
      </c>
      <c r="C85" s="92" t="s">
        <v>180</v>
      </c>
      <c r="D85" s="92" t="s">
        <v>181</v>
      </c>
      <c r="E85" s="93"/>
      <c r="F85" s="93">
        <f>300000000+1400000000-700000000</f>
        <v>1000000000</v>
      </c>
      <c r="G85" s="93"/>
      <c r="H85" s="94" t="s">
        <v>169</v>
      </c>
      <c r="I85" s="76" t="s">
        <v>189</v>
      </c>
      <c r="J85" s="95">
        <v>6</v>
      </c>
      <c r="K85" s="95">
        <v>6</v>
      </c>
      <c r="L85" s="97">
        <v>5</v>
      </c>
      <c r="M85" s="91">
        <f t="shared" si="18"/>
        <v>1</v>
      </c>
      <c r="N85" s="98" t="s">
        <v>64</v>
      </c>
      <c r="O85" s="99" t="s">
        <v>65</v>
      </c>
      <c r="P85" s="100">
        <f t="shared" si="19"/>
        <v>1</v>
      </c>
      <c r="Q85" s="101">
        <f t="shared" si="20"/>
        <v>1000000000</v>
      </c>
      <c r="R85" s="101">
        <f t="shared" si="21"/>
        <v>1000000000</v>
      </c>
      <c r="S85" s="102" t="s">
        <v>56</v>
      </c>
      <c r="T85" s="98">
        <f t="shared" si="22"/>
        <v>0</v>
      </c>
      <c r="U85" s="27" t="str">
        <f t="shared" si="23"/>
        <v>SUBDIRECCION DE GESTION CONTRACTUAL</v>
      </c>
      <c r="V85" s="91" t="str">
        <f t="shared" si="24"/>
        <v>CO-DC</v>
      </c>
      <c r="W85" s="27" t="str">
        <f t="shared" si="25"/>
        <v>Distrito Capital de Bogotá</v>
      </c>
      <c r="X85" s="103" t="s">
        <v>154</v>
      </c>
      <c r="Y85" s="91">
        <v>2427400</v>
      </c>
      <c r="Z85" s="85" t="s">
        <v>155</v>
      </c>
    </row>
    <row r="86" spans="1:26" s="5" customFormat="1" ht="12.75" hidden="1" customHeight="1" x14ac:dyDescent="0.25">
      <c r="A86" s="90" t="s">
        <v>150</v>
      </c>
      <c r="B86" s="91">
        <v>32</v>
      </c>
      <c r="C86" s="92" t="s">
        <v>180</v>
      </c>
      <c r="D86" s="92" t="s">
        <v>181</v>
      </c>
      <c r="E86" s="93"/>
      <c r="F86" s="93">
        <f>300000000-300000000</f>
        <v>0</v>
      </c>
      <c r="G86" s="93"/>
      <c r="H86" s="94" t="s">
        <v>177</v>
      </c>
      <c r="I86" s="76" t="s">
        <v>190</v>
      </c>
      <c r="J86" s="95">
        <v>5</v>
      </c>
      <c r="K86" s="96">
        <v>5</v>
      </c>
      <c r="L86" s="97">
        <v>6</v>
      </c>
      <c r="M86" s="91">
        <f t="shared" si="18"/>
        <v>1</v>
      </c>
      <c r="N86" s="98" t="s">
        <v>64</v>
      </c>
      <c r="O86" s="99" t="s">
        <v>65</v>
      </c>
      <c r="P86" s="100">
        <f t="shared" si="19"/>
        <v>1</v>
      </c>
      <c r="Q86" s="101">
        <f t="shared" si="20"/>
        <v>0</v>
      </c>
      <c r="R86" s="101">
        <f t="shared" si="21"/>
        <v>0</v>
      </c>
      <c r="S86" s="102" t="s">
        <v>56</v>
      </c>
      <c r="T86" s="98">
        <f t="shared" si="22"/>
        <v>0</v>
      </c>
      <c r="U86" s="27" t="str">
        <f t="shared" si="23"/>
        <v>SUBDIRECCION DE GESTION CONTRACTUAL</v>
      </c>
      <c r="V86" s="91" t="str">
        <f t="shared" si="24"/>
        <v>CO-DC</v>
      </c>
      <c r="W86" s="27" t="str">
        <f t="shared" si="25"/>
        <v>Distrito Capital de Bogotá</v>
      </c>
      <c r="X86" s="103" t="s">
        <v>154</v>
      </c>
      <c r="Y86" s="91">
        <v>2427400</v>
      </c>
      <c r="Z86" s="85" t="s">
        <v>155</v>
      </c>
    </row>
    <row r="87" spans="1:26" s="5" customFormat="1" ht="12.75" hidden="1" customHeight="1" x14ac:dyDescent="0.25">
      <c r="A87" s="90" t="s">
        <v>150</v>
      </c>
      <c r="B87" s="91">
        <v>33</v>
      </c>
      <c r="C87" s="92" t="s">
        <v>191</v>
      </c>
      <c r="D87" s="92" t="s">
        <v>181</v>
      </c>
      <c r="E87" s="93"/>
      <c r="F87" s="93">
        <f>300000000-300000000</f>
        <v>0</v>
      </c>
      <c r="G87" s="93"/>
      <c r="H87" s="94" t="s">
        <v>177</v>
      </c>
      <c r="I87" s="76" t="s">
        <v>192</v>
      </c>
      <c r="J87" s="95">
        <v>4</v>
      </c>
      <c r="K87" s="95">
        <v>4</v>
      </c>
      <c r="L87" s="97">
        <v>7</v>
      </c>
      <c r="M87" s="91">
        <f t="shared" si="18"/>
        <v>1</v>
      </c>
      <c r="N87" s="98" t="s">
        <v>64</v>
      </c>
      <c r="O87" s="99" t="s">
        <v>65</v>
      </c>
      <c r="P87" s="100">
        <f t="shared" si="19"/>
        <v>1</v>
      </c>
      <c r="Q87" s="101">
        <f t="shared" si="20"/>
        <v>0</v>
      </c>
      <c r="R87" s="101">
        <f t="shared" si="21"/>
        <v>0</v>
      </c>
      <c r="S87" s="102" t="s">
        <v>56</v>
      </c>
      <c r="T87" s="98">
        <f t="shared" si="22"/>
        <v>0</v>
      </c>
      <c r="U87" s="27" t="str">
        <f t="shared" si="23"/>
        <v>SUBDIRECCION DE GESTION CONTRACTUAL</v>
      </c>
      <c r="V87" s="91" t="str">
        <f t="shared" si="24"/>
        <v>CO-DC</v>
      </c>
      <c r="W87" s="27" t="str">
        <f t="shared" si="25"/>
        <v>Distrito Capital de Bogotá</v>
      </c>
      <c r="X87" s="103" t="s">
        <v>154</v>
      </c>
      <c r="Y87" s="91">
        <v>2427400</v>
      </c>
      <c r="Z87" s="85" t="s">
        <v>155</v>
      </c>
    </row>
    <row r="88" spans="1:26" s="5" customFormat="1" ht="12.75" hidden="1" customHeight="1" x14ac:dyDescent="0.25">
      <c r="A88" s="90" t="s">
        <v>150</v>
      </c>
      <c r="B88" s="91">
        <v>34</v>
      </c>
      <c r="C88" s="92" t="s">
        <v>180</v>
      </c>
      <c r="D88" s="92" t="s">
        <v>181</v>
      </c>
      <c r="E88" s="93"/>
      <c r="F88" s="93">
        <f>240000000+175000000</f>
        <v>415000000</v>
      </c>
      <c r="G88" s="93"/>
      <c r="H88" s="94">
        <v>80111600</v>
      </c>
      <c r="I88" s="76" t="s">
        <v>153</v>
      </c>
      <c r="J88" s="95">
        <v>1</v>
      </c>
      <c r="K88" s="96">
        <v>1</v>
      </c>
      <c r="L88" s="97">
        <v>12</v>
      </c>
      <c r="M88" s="91">
        <f t="shared" si="18"/>
        <v>1</v>
      </c>
      <c r="N88" s="98" t="s">
        <v>54</v>
      </c>
      <c r="O88" s="99" t="s">
        <v>55</v>
      </c>
      <c r="P88" s="100">
        <f t="shared" si="19"/>
        <v>1</v>
      </c>
      <c r="Q88" s="101">
        <f t="shared" si="20"/>
        <v>415000000</v>
      </c>
      <c r="R88" s="101">
        <f t="shared" si="21"/>
        <v>415000000</v>
      </c>
      <c r="S88" s="102" t="s">
        <v>56</v>
      </c>
      <c r="T88" s="98">
        <f t="shared" si="22"/>
        <v>0</v>
      </c>
      <c r="U88" s="27" t="str">
        <f t="shared" si="23"/>
        <v>SUBDIRECCION DE GESTION CONTRACTUAL</v>
      </c>
      <c r="V88" s="91" t="str">
        <f t="shared" si="24"/>
        <v>CO-DC</v>
      </c>
      <c r="W88" s="27" t="str">
        <f t="shared" si="25"/>
        <v>Distrito Capital de Bogotá</v>
      </c>
      <c r="X88" s="103" t="s">
        <v>154</v>
      </c>
      <c r="Y88" s="91">
        <v>2427400</v>
      </c>
      <c r="Z88" s="85" t="s">
        <v>155</v>
      </c>
    </row>
    <row r="89" spans="1:26" s="5" customFormat="1" ht="12.75" hidden="1" customHeight="1" x14ac:dyDescent="0.25">
      <c r="A89" s="90" t="s">
        <v>150</v>
      </c>
      <c r="B89" s="91">
        <v>35</v>
      </c>
      <c r="C89" s="92" t="s">
        <v>180</v>
      </c>
      <c r="D89" s="92" t="s">
        <v>181</v>
      </c>
      <c r="E89" s="93"/>
      <c r="F89" s="93">
        <v>880000000</v>
      </c>
      <c r="G89" s="93"/>
      <c r="H89" s="94">
        <v>80111600</v>
      </c>
      <c r="I89" s="76" t="s">
        <v>153</v>
      </c>
      <c r="J89" s="95">
        <v>1</v>
      </c>
      <c r="K89" s="96">
        <v>1</v>
      </c>
      <c r="L89" s="97">
        <v>12</v>
      </c>
      <c r="M89" s="91">
        <f t="shared" si="18"/>
        <v>1</v>
      </c>
      <c r="N89" s="98" t="s">
        <v>54</v>
      </c>
      <c r="O89" s="99" t="s">
        <v>55</v>
      </c>
      <c r="P89" s="100">
        <f t="shared" si="19"/>
        <v>1</v>
      </c>
      <c r="Q89" s="101">
        <f t="shared" si="20"/>
        <v>880000000</v>
      </c>
      <c r="R89" s="101">
        <f t="shared" si="21"/>
        <v>880000000</v>
      </c>
      <c r="S89" s="102" t="s">
        <v>56</v>
      </c>
      <c r="T89" s="98">
        <f t="shared" si="22"/>
        <v>0</v>
      </c>
      <c r="U89" s="27" t="str">
        <f t="shared" si="23"/>
        <v>SUBDIRECCION DE GESTION CONTRACTUAL</v>
      </c>
      <c r="V89" s="91" t="str">
        <f t="shared" si="24"/>
        <v>CO-DC</v>
      </c>
      <c r="W89" s="27" t="str">
        <f t="shared" si="25"/>
        <v>Distrito Capital de Bogotá</v>
      </c>
      <c r="X89" s="103" t="s">
        <v>154</v>
      </c>
      <c r="Y89" s="91">
        <v>2427400</v>
      </c>
      <c r="Z89" s="85" t="s">
        <v>155</v>
      </c>
    </row>
    <row r="90" spans="1:26" s="5" customFormat="1" ht="12.75" hidden="1" customHeight="1" x14ac:dyDescent="0.25">
      <c r="A90" s="90" t="s">
        <v>150</v>
      </c>
      <c r="B90" s="91">
        <v>36</v>
      </c>
      <c r="C90" s="92" t="s">
        <v>191</v>
      </c>
      <c r="D90" s="92" t="s">
        <v>165</v>
      </c>
      <c r="E90" s="93"/>
      <c r="F90" s="93">
        <f>3781000000-500000000-400000000</f>
        <v>2881000000</v>
      </c>
      <c r="G90" s="93"/>
      <c r="H90" s="94" t="s">
        <v>67</v>
      </c>
      <c r="I90" s="76" t="s">
        <v>156</v>
      </c>
      <c r="J90" s="95">
        <v>2</v>
      </c>
      <c r="K90" s="96">
        <v>3</v>
      </c>
      <c r="L90" s="97">
        <v>9</v>
      </c>
      <c r="M90" s="91">
        <f t="shared" si="18"/>
        <v>1</v>
      </c>
      <c r="N90" s="98" t="s">
        <v>69</v>
      </c>
      <c r="O90" s="99" t="s">
        <v>70</v>
      </c>
      <c r="P90" s="100">
        <f t="shared" si="19"/>
        <v>1</v>
      </c>
      <c r="Q90" s="101">
        <f t="shared" si="20"/>
        <v>2881000000</v>
      </c>
      <c r="R90" s="101">
        <f t="shared" si="21"/>
        <v>2881000000</v>
      </c>
      <c r="S90" s="102" t="s">
        <v>56</v>
      </c>
      <c r="T90" s="98">
        <f t="shared" si="22"/>
        <v>0</v>
      </c>
      <c r="U90" s="27" t="str">
        <f t="shared" si="23"/>
        <v>SUBDIRECCION DE GESTION CONTRACTUAL</v>
      </c>
      <c r="V90" s="91" t="str">
        <f t="shared" si="24"/>
        <v>CO-DC</v>
      </c>
      <c r="W90" s="27" t="str">
        <f t="shared" si="25"/>
        <v>Distrito Capital de Bogotá</v>
      </c>
      <c r="X90" s="103" t="s">
        <v>154</v>
      </c>
      <c r="Y90" s="91">
        <v>2427400</v>
      </c>
      <c r="Z90" s="85" t="s">
        <v>155</v>
      </c>
    </row>
    <row r="91" spans="1:26" s="5" customFormat="1" ht="12.75" hidden="1" customHeight="1" x14ac:dyDescent="0.25">
      <c r="A91" s="90" t="s">
        <v>150</v>
      </c>
      <c r="B91" s="91">
        <v>37</v>
      </c>
      <c r="C91" s="92" t="s">
        <v>191</v>
      </c>
      <c r="D91" s="92" t="s">
        <v>165</v>
      </c>
      <c r="E91" s="93"/>
      <c r="F91" s="93">
        <v>350000000</v>
      </c>
      <c r="G91" s="93"/>
      <c r="H91" s="94" t="s">
        <v>71</v>
      </c>
      <c r="I91" s="76" t="s">
        <v>193</v>
      </c>
      <c r="J91" s="95">
        <v>2</v>
      </c>
      <c r="K91" s="96">
        <v>3</v>
      </c>
      <c r="L91" s="97">
        <v>10</v>
      </c>
      <c r="M91" s="91">
        <f t="shared" si="18"/>
        <v>1</v>
      </c>
      <c r="N91" s="98" t="s">
        <v>64</v>
      </c>
      <c r="O91" s="99" t="s">
        <v>65</v>
      </c>
      <c r="P91" s="100">
        <f t="shared" si="19"/>
        <v>1</v>
      </c>
      <c r="Q91" s="101">
        <f t="shared" si="20"/>
        <v>350000000</v>
      </c>
      <c r="R91" s="101">
        <f t="shared" si="21"/>
        <v>350000000</v>
      </c>
      <c r="S91" s="102" t="s">
        <v>56</v>
      </c>
      <c r="T91" s="98">
        <f t="shared" si="22"/>
        <v>0</v>
      </c>
      <c r="U91" s="27" t="str">
        <f t="shared" si="23"/>
        <v>SUBDIRECCION DE GESTION CONTRACTUAL</v>
      </c>
      <c r="V91" s="91" t="str">
        <f t="shared" si="24"/>
        <v>CO-DC</v>
      </c>
      <c r="W91" s="27" t="str">
        <f t="shared" si="25"/>
        <v>Distrito Capital de Bogotá</v>
      </c>
      <c r="X91" s="103" t="s">
        <v>154</v>
      </c>
      <c r="Y91" s="91">
        <v>2427400</v>
      </c>
      <c r="Z91" s="85" t="s">
        <v>155</v>
      </c>
    </row>
    <row r="92" spans="1:26" s="5" customFormat="1" ht="12.75" hidden="1" customHeight="1" x14ac:dyDescent="0.2">
      <c r="A92" s="90" t="s">
        <v>150</v>
      </c>
      <c r="B92" s="91">
        <v>38</v>
      </c>
      <c r="C92" s="92" t="s">
        <v>191</v>
      </c>
      <c r="D92" s="92" t="s">
        <v>165</v>
      </c>
      <c r="E92" s="93"/>
      <c r="F92" s="93">
        <v>15000000</v>
      </c>
      <c r="G92" s="93"/>
      <c r="H92" s="139" t="s">
        <v>103</v>
      </c>
      <c r="I92" s="76" t="s">
        <v>194</v>
      </c>
      <c r="J92" s="95">
        <v>10</v>
      </c>
      <c r="K92" s="96" t="s">
        <v>168</v>
      </c>
      <c r="L92" s="97">
        <v>1</v>
      </c>
      <c r="M92" s="91">
        <f t="shared" si="18"/>
        <v>1</v>
      </c>
      <c r="N92" s="98" t="s">
        <v>100</v>
      </c>
      <c r="O92" s="99" t="s">
        <v>195</v>
      </c>
      <c r="P92" s="100">
        <f t="shared" si="19"/>
        <v>1</v>
      </c>
      <c r="Q92" s="101">
        <f t="shared" si="20"/>
        <v>15000000</v>
      </c>
      <c r="R92" s="101">
        <f t="shared" si="21"/>
        <v>15000000</v>
      </c>
      <c r="S92" s="102" t="s">
        <v>56</v>
      </c>
      <c r="T92" s="98">
        <f t="shared" si="22"/>
        <v>0</v>
      </c>
      <c r="U92" s="27" t="str">
        <f t="shared" si="23"/>
        <v>SUBDIRECCION DE GESTION CONTRACTUAL</v>
      </c>
      <c r="V92" s="91" t="str">
        <f t="shared" si="24"/>
        <v>CO-DC</v>
      </c>
      <c r="W92" s="27" t="str">
        <f t="shared" si="25"/>
        <v>Distrito Capital de Bogotá</v>
      </c>
      <c r="X92" s="103" t="s">
        <v>196</v>
      </c>
      <c r="Y92" s="91">
        <v>2427400</v>
      </c>
      <c r="Z92" s="105" t="s">
        <v>197</v>
      </c>
    </row>
    <row r="93" spans="1:26" s="5" customFormat="1" ht="12.75" hidden="1" customHeight="1" x14ac:dyDescent="0.2">
      <c r="A93" s="90" t="s">
        <v>150</v>
      </c>
      <c r="B93" s="91">
        <v>39</v>
      </c>
      <c r="C93" s="92" t="s">
        <v>191</v>
      </c>
      <c r="D93" s="92" t="s">
        <v>165</v>
      </c>
      <c r="E93" s="93"/>
      <c r="F93" s="93">
        <v>300000000</v>
      </c>
      <c r="G93" s="93"/>
      <c r="H93" s="104" t="s">
        <v>85</v>
      </c>
      <c r="I93" s="76" t="s">
        <v>198</v>
      </c>
      <c r="J93" s="104">
        <v>11</v>
      </c>
      <c r="K93" s="95">
        <v>11</v>
      </c>
      <c r="L93" s="97">
        <v>1</v>
      </c>
      <c r="M93" s="91">
        <f t="shared" si="18"/>
        <v>1</v>
      </c>
      <c r="N93" s="98" t="s">
        <v>87</v>
      </c>
      <c r="O93" s="99" t="s">
        <v>88</v>
      </c>
      <c r="P93" s="100">
        <f t="shared" si="19"/>
        <v>1</v>
      </c>
      <c r="Q93" s="101">
        <f t="shared" si="20"/>
        <v>300000000</v>
      </c>
      <c r="R93" s="101">
        <f t="shared" si="21"/>
        <v>300000000</v>
      </c>
      <c r="S93" s="102" t="s">
        <v>56</v>
      </c>
      <c r="T93" s="98">
        <f t="shared" si="22"/>
        <v>0</v>
      </c>
      <c r="U93" s="27" t="str">
        <f t="shared" si="23"/>
        <v>SUBDIRECCION DE GESTION CONTRACTUAL</v>
      </c>
      <c r="V93" s="91" t="str">
        <f t="shared" si="24"/>
        <v>CO-DC</v>
      </c>
      <c r="W93" s="27" t="str">
        <f t="shared" si="25"/>
        <v>Distrito Capital de Bogotá</v>
      </c>
      <c r="X93" s="129" t="s">
        <v>89</v>
      </c>
      <c r="Y93" s="91">
        <v>2427400</v>
      </c>
      <c r="Z93" s="105" t="s">
        <v>90</v>
      </c>
    </row>
    <row r="94" spans="1:26" s="5" customFormat="1" ht="12.75" hidden="1" customHeight="1" x14ac:dyDescent="0.2">
      <c r="A94" s="90" t="s">
        <v>150</v>
      </c>
      <c r="B94" s="91">
        <v>40</v>
      </c>
      <c r="C94" s="92" t="s">
        <v>191</v>
      </c>
      <c r="D94" s="92" t="s">
        <v>165</v>
      </c>
      <c r="E94" s="93"/>
      <c r="F94" s="93">
        <v>600000000</v>
      </c>
      <c r="G94" s="93"/>
      <c r="H94" s="94" t="s">
        <v>59</v>
      </c>
      <c r="I94" s="76" t="s">
        <v>161</v>
      </c>
      <c r="J94" s="95">
        <v>3</v>
      </c>
      <c r="K94" s="96">
        <v>4</v>
      </c>
      <c r="L94" s="97">
        <v>9</v>
      </c>
      <c r="M94" s="91">
        <f t="shared" si="18"/>
        <v>1</v>
      </c>
      <c r="N94" s="98" t="s">
        <v>61</v>
      </c>
      <c r="O94" s="99" t="s">
        <v>62</v>
      </c>
      <c r="P94" s="100">
        <f t="shared" si="19"/>
        <v>1</v>
      </c>
      <c r="Q94" s="101">
        <f t="shared" si="20"/>
        <v>600000000</v>
      </c>
      <c r="R94" s="101">
        <f t="shared" si="21"/>
        <v>600000000</v>
      </c>
      <c r="S94" s="102" t="s">
        <v>56</v>
      </c>
      <c r="T94" s="98">
        <f t="shared" si="22"/>
        <v>0</v>
      </c>
      <c r="U94" s="27" t="str">
        <f t="shared" si="23"/>
        <v>SUBDIRECCION DE GESTION CONTRACTUAL</v>
      </c>
      <c r="V94" s="91" t="str">
        <f t="shared" si="24"/>
        <v>CO-DC</v>
      </c>
      <c r="W94" s="27" t="str">
        <f t="shared" si="25"/>
        <v>Distrito Capital de Bogotá</v>
      </c>
      <c r="X94" s="103" t="s">
        <v>162</v>
      </c>
      <c r="Y94" s="91">
        <v>2427400</v>
      </c>
      <c r="Z94" s="105" t="s">
        <v>163</v>
      </c>
    </row>
    <row r="95" spans="1:26" s="5" customFormat="1" ht="12.75" hidden="1" customHeight="1" x14ac:dyDescent="0.2">
      <c r="A95" s="90" t="s">
        <v>150</v>
      </c>
      <c r="B95" s="91">
        <v>41</v>
      </c>
      <c r="C95" s="92" t="s">
        <v>191</v>
      </c>
      <c r="D95" s="92" t="s">
        <v>165</v>
      </c>
      <c r="E95" s="93"/>
      <c r="F95" s="93">
        <v>20000000</v>
      </c>
      <c r="G95" s="93"/>
      <c r="H95" s="94" t="s">
        <v>199</v>
      </c>
      <c r="I95" s="76" t="s">
        <v>200</v>
      </c>
      <c r="J95" s="95">
        <v>5</v>
      </c>
      <c r="K95" s="96">
        <v>6</v>
      </c>
      <c r="L95" s="97">
        <v>1</v>
      </c>
      <c r="M95" s="91">
        <f t="shared" si="18"/>
        <v>1</v>
      </c>
      <c r="N95" s="98" t="s">
        <v>87</v>
      </c>
      <c r="O95" s="99" t="s">
        <v>88</v>
      </c>
      <c r="P95" s="100">
        <f t="shared" si="19"/>
        <v>1</v>
      </c>
      <c r="Q95" s="101">
        <f t="shared" si="20"/>
        <v>20000000</v>
      </c>
      <c r="R95" s="101">
        <f t="shared" si="21"/>
        <v>20000000</v>
      </c>
      <c r="S95" s="102" t="s">
        <v>56</v>
      </c>
      <c r="T95" s="98">
        <f t="shared" si="22"/>
        <v>0</v>
      </c>
      <c r="U95" s="27" t="str">
        <f t="shared" si="23"/>
        <v>SUBDIRECCION DE GESTION CONTRACTUAL</v>
      </c>
      <c r="V95" s="91" t="str">
        <f t="shared" si="24"/>
        <v>CO-DC</v>
      </c>
      <c r="W95" s="27" t="str">
        <f t="shared" si="25"/>
        <v>Distrito Capital de Bogotá</v>
      </c>
      <c r="X95" s="103" t="s">
        <v>201</v>
      </c>
      <c r="Y95" s="91">
        <v>2427400</v>
      </c>
      <c r="Z95" s="105" t="s">
        <v>202</v>
      </c>
    </row>
    <row r="96" spans="1:26" s="5" customFormat="1" ht="12.75" hidden="1" customHeight="1" x14ac:dyDescent="0.2">
      <c r="A96" s="90" t="s">
        <v>150</v>
      </c>
      <c r="B96" s="91">
        <v>42</v>
      </c>
      <c r="C96" s="92" t="s">
        <v>191</v>
      </c>
      <c r="D96" s="92" t="s">
        <v>165</v>
      </c>
      <c r="E96" s="93"/>
      <c r="F96" s="93">
        <v>300000000</v>
      </c>
      <c r="G96" s="93"/>
      <c r="H96" s="94" t="s">
        <v>203</v>
      </c>
      <c r="I96" s="76" t="s">
        <v>204</v>
      </c>
      <c r="J96" s="95">
        <v>8</v>
      </c>
      <c r="K96" s="96" t="s">
        <v>171</v>
      </c>
      <c r="L96" s="97">
        <v>4</v>
      </c>
      <c r="M96" s="91">
        <f t="shared" si="18"/>
        <v>1</v>
      </c>
      <c r="N96" s="98" t="s">
        <v>54</v>
      </c>
      <c r="O96" s="99" t="s">
        <v>65</v>
      </c>
      <c r="P96" s="100">
        <f t="shared" si="19"/>
        <v>1</v>
      </c>
      <c r="Q96" s="101">
        <f t="shared" si="20"/>
        <v>300000000</v>
      </c>
      <c r="R96" s="101">
        <f t="shared" si="21"/>
        <v>300000000</v>
      </c>
      <c r="S96" s="102" t="s">
        <v>56</v>
      </c>
      <c r="T96" s="98">
        <f t="shared" si="22"/>
        <v>0</v>
      </c>
      <c r="U96" s="27" t="str">
        <f t="shared" si="23"/>
        <v>SUBDIRECCION DE GESTION CONTRACTUAL</v>
      </c>
      <c r="V96" s="91" t="str">
        <f t="shared" si="24"/>
        <v>CO-DC</v>
      </c>
      <c r="W96" s="27" t="str">
        <f t="shared" si="25"/>
        <v>Distrito Capital de Bogotá</v>
      </c>
      <c r="X96" s="103" t="s">
        <v>205</v>
      </c>
      <c r="Y96" s="91">
        <v>2427400</v>
      </c>
      <c r="Z96" s="105" t="s">
        <v>206</v>
      </c>
    </row>
    <row r="97" spans="1:26" s="5" customFormat="1" ht="12.75" hidden="1" customHeight="1" x14ac:dyDescent="0.25">
      <c r="A97" s="90" t="s">
        <v>150</v>
      </c>
      <c r="B97" s="91">
        <v>43</v>
      </c>
      <c r="C97" s="92" t="s">
        <v>191</v>
      </c>
      <c r="D97" s="92" t="s">
        <v>165</v>
      </c>
      <c r="E97" s="93"/>
      <c r="F97" s="93">
        <f>2950000000-600000000+430000000+200000000</f>
        <v>2980000000</v>
      </c>
      <c r="G97" s="93"/>
      <c r="H97" s="94">
        <v>80111600</v>
      </c>
      <c r="I97" s="76" t="s">
        <v>153</v>
      </c>
      <c r="J97" s="95">
        <v>1</v>
      </c>
      <c r="K97" s="96">
        <v>1</v>
      </c>
      <c r="L97" s="97">
        <v>12</v>
      </c>
      <c r="M97" s="91">
        <f t="shared" si="18"/>
        <v>1</v>
      </c>
      <c r="N97" s="98" t="s">
        <v>54</v>
      </c>
      <c r="O97" s="99" t="s">
        <v>55</v>
      </c>
      <c r="P97" s="100">
        <f t="shared" si="19"/>
        <v>1</v>
      </c>
      <c r="Q97" s="101">
        <f t="shared" si="20"/>
        <v>2980000000</v>
      </c>
      <c r="R97" s="101">
        <f t="shared" si="21"/>
        <v>2980000000</v>
      </c>
      <c r="S97" s="102" t="s">
        <v>56</v>
      </c>
      <c r="T97" s="98">
        <f t="shared" si="22"/>
        <v>0</v>
      </c>
      <c r="U97" s="27" t="str">
        <f t="shared" si="23"/>
        <v>SUBDIRECCION DE GESTION CONTRACTUAL</v>
      </c>
      <c r="V97" s="91" t="str">
        <f t="shared" si="24"/>
        <v>CO-DC</v>
      </c>
      <c r="W97" s="27" t="str">
        <f t="shared" si="25"/>
        <v>Distrito Capital de Bogotá</v>
      </c>
      <c r="X97" s="103" t="s">
        <v>154</v>
      </c>
      <c r="Y97" s="91">
        <v>2427400</v>
      </c>
      <c r="Z97" s="85" t="s">
        <v>155</v>
      </c>
    </row>
    <row r="98" spans="1:26" s="5" customFormat="1" ht="12.75" hidden="1" customHeight="1" x14ac:dyDescent="0.25">
      <c r="A98" s="90" t="s">
        <v>150</v>
      </c>
      <c r="B98" s="91">
        <v>44</v>
      </c>
      <c r="C98" s="92" t="s">
        <v>191</v>
      </c>
      <c r="D98" s="92" t="s">
        <v>165</v>
      </c>
      <c r="E98" s="93"/>
      <c r="F98" s="93">
        <f>500000000-500000000</f>
        <v>0</v>
      </c>
      <c r="G98" s="93"/>
      <c r="H98" s="94" t="s">
        <v>67</v>
      </c>
      <c r="I98" s="76" t="s">
        <v>156</v>
      </c>
      <c r="J98" s="124">
        <v>1</v>
      </c>
      <c r="K98" s="124">
        <v>2</v>
      </c>
      <c r="L98" s="124">
        <v>3</v>
      </c>
      <c r="M98" s="91">
        <f t="shared" si="18"/>
        <v>1</v>
      </c>
      <c r="N98" s="98" t="s">
        <v>64</v>
      </c>
      <c r="O98" s="99" t="s">
        <v>65</v>
      </c>
      <c r="P98" s="100">
        <f t="shared" si="19"/>
        <v>1</v>
      </c>
      <c r="Q98" s="101">
        <f t="shared" si="20"/>
        <v>0</v>
      </c>
      <c r="R98" s="101">
        <f t="shared" si="21"/>
        <v>0</v>
      </c>
      <c r="S98" s="102" t="s">
        <v>56</v>
      </c>
      <c r="T98" s="98">
        <f t="shared" si="22"/>
        <v>0</v>
      </c>
      <c r="U98" s="27" t="str">
        <f t="shared" si="23"/>
        <v>SUBDIRECCION DE GESTION CONTRACTUAL</v>
      </c>
      <c r="V98" s="91" t="str">
        <f t="shared" si="24"/>
        <v>CO-DC</v>
      </c>
      <c r="W98" s="27" t="str">
        <f t="shared" si="25"/>
        <v>Distrito Capital de Bogotá</v>
      </c>
      <c r="X98" s="103" t="s">
        <v>154</v>
      </c>
      <c r="Y98" s="91">
        <v>2427400</v>
      </c>
      <c r="Z98" s="85" t="s">
        <v>155</v>
      </c>
    </row>
    <row r="99" spans="1:26" s="5" customFormat="1" ht="12.75" hidden="1" customHeight="1" x14ac:dyDescent="0.25">
      <c r="A99" s="90" t="s">
        <v>150</v>
      </c>
      <c r="B99" s="91">
        <v>45</v>
      </c>
      <c r="C99" s="92" t="s">
        <v>173</v>
      </c>
      <c r="D99" s="92" t="s">
        <v>165</v>
      </c>
      <c r="E99" s="93"/>
      <c r="F99" s="93">
        <f>500000000-500000000</f>
        <v>0</v>
      </c>
      <c r="G99" s="93"/>
      <c r="H99" s="94" t="s">
        <v>67</v>
      </c>
      <c r="I99" s="76" t="s">
        <v>156</v>
      </c>
      <c r="J99" s="124">
        <v>1</v>
      </c>
      <c r="K99" s="124">
        <v>2</v>
      </c>
      <c r="L99" s="124">
        <v>3</v>
      </c>
      <c r="M99" s="91">
        <f t="shared" si="18"/>
        <v>1</v>
      </c>
      <c r="N99" s="98" t="s">
        <v>64</v>
      </c>
      <c r="O99" s="99" t="s">
        <v>65</v>
      </c>
      <c r="P99" s="100">
        <v>1</v>
      </c>
      <c r="Q99" s="101">
        <f t="shared" si="20"/>
        <v>0</v>
      </c>
      <c r="R99" s="101">
        <f t="shared" si="21"/>
        <v>0</v>
      </c>
      <c r="S99" s="102" t="s">
        <v>56</v>
      </c>
      <c r="T99" s="98">
        <v>0</v>
      </c>
      <c r="U99" s="27" t="str">
        <f t="shared" si="23"/>
        <v>SUBDIRECCION DE GESTION CONTRACTUAL</v>
      </c>
      <c r="V99" s="91" t="s">
        <v>207</v>
      </c>
      <c r="W99" s="27" t="s">
        <v>208</v>
      </c>
      <c r="X99" s="103" t="s">
        <v>154</v>
      </c>
      <c r="Y99" s="91">
        <v>2427400</v>
      </c>
      <c r="Z99" s="85" t="s">
        <v>155</v>
      </c>
    </row>
    <row r="100" spans="1:26" s="5" customFormat="1" ht="12.75" hidden="1" customHeight="1" x14ac:dyDescent="0.25">
      <c r="A100" s="90" t="s">
        <v>150</v>
      </c>
      <c r="B100" s="91">
        <v>46</v>
      </c>
      <c r="C100" s="92" t="s">
        <v>191</v>
      </c>
      <c r="D100" s="92" t="s">
        <v>165</v>
      </c>
      <c r="E100" s="93"/>
      <c r="F100" s="93">
        <f>200000000+100000000+700000000-1000000000</f>
        <v>0</v>
      </c>
      <c r="G100" s="93"/>
      <c r="H100" s="139" t="s">
        <v>209</v>
      </c>
      <c r="I100" s="141" t="s">
        <v>210</v>
      </c>
      <c r="J100" s="124">
        <v>5</v>
      </c>
      <c r="K100" s="124">
        <v>5</v>
      </c>
      <c r="L100" s="124">
        <v>6</v>
      </c>
      <c r="M100" s="91">
        <v>1</v>
      </c>
      <c r="N100" s="98" t="s">
        <v>64</v>
      </c>
      <c r="O100" s="99" t="s">
        <v>65</v>
      </c>
      <c r="P100" s="100">
        <v>1</v>
      </c>
      <c r="Q100" s="101">
        <f t="shared" si="20"/>
        <v>0</v>
      </c>
      <c r="R100" s="101">
        <f t="shared" si="21"/>
        <v>0</v>
      </c>
      <c r="S100" s="102">
        <v>0</v>
      </c>
      <c r="T100" s="98">
        <v>0</v>
      </c>
      <c r="U100" s="27" t="str">
        <f t="shared" si="23"/>
        <v>SUBDIRECCION DE GESTION CONTRACTUAL</v>
      </c>
      <c r="V100" s="91" t="s">
        <v>207</v>
      </c>
      <c r="W100" s="27" t="s">
        <v>208</v>
      </c>
      <c r="X100" s="103" t="s">
        <v>154</v>
      </c>
      <c r="Y100" s="91">
        <v>2427400</v>
      </c>
      <c r="Z100" s="85" t="s">
        <v>155</v>
      </c>
    </row>
    <row r="101" spans="1:26" s="5" customFormat="1" ht="12.75" hidden="1" customHeight="1" x14ac:dyDescent="0.25">
      <c r="A101" s="90" t="s">
        <v>150</v>
      </c>
      <c r="B101" s="91">
        <v>47</v>
      </c>
      <c r="C101" s="92" t="s">
        <v>211</v>
      </c>
      <c r="D101" s="92" t="s">
        <v>165</v>
      </c>
      <c r="E101" s="93"/>
      <c r="F101" s="93">
        <v>1300000000</v>
      </c>
      <c r="G101" s="93"/>
      <c r="H101" s="142" t="s">
        <v>212</v>
      </c>
      <c r="I101" s="141" t="s">
        <v>213</v>
      </c>
      <c r="J101" s="124">
        <v>5</v>
      </c>
      <c r="K101" s="124">
        <v>5</v>
      </c>
      <c r="L101" s="124">
        <v>6</v>
      </c>
      <c r="M101" s="91">
        <v>1</v>
      </c>
      <c r="N101" s="98" t="s">
        <v>64</v>
      </c>
      <c r="O101" s="99" t="s">
        <v>65</v>
      </c>
      <c r="P101" s="100">
        <v>1</v>
      </c>
      <c r="Q101" s="101">
        <f t="shared" si="20"/>
        <v>1300000000</v>
      </c>
      <c r="R101" s="101">
        <f t="shared" si="21"/>
        <v>1300000000</v>
      </c>
      <c r="S101" s="102">
        <v>0</v>
      </c>
      <c r="T101" s="98">
        <v>0</v>
      </c>
      <c r="U101" s="27" t="str">
        <f t="shared" si="23"/>
        <v>SUBDIRECCION DE GESTION CONTRACTUAL</v>
      </c>
      <c r="V101" s="91" t="s">
        <v>207</v>
      </c>
      <c r="W101" s="27" t="s">
        <v>208</v>
      </c>
      <c r="X101" s="103" t="s">
        <v>154</v>
      </c>
      <c r="Y101" s="91">
        <v>2427400</v>
      </c>
      <c r="Z101" s="85" t="s">
        <v>155</v>
      </c>
    </row>
    <row r="102" spans="1:26" s="5" customFormat="1" ht="12.75" hidden="1" customHeight="1" x14ac:dyDescent="0.25">
      <c r="A102" s="90" t="s">
        <v>150</v>
      </c>
      <c r="B102" s="91">
        <v>48</v>
      </c>
      <c r="C102" s="92" t="s">
        <v>151</v>
      </c>
      <c r="D102" s="92" t="s">
        <v>165</v>
      </c>
      <c r="E102" s="93"/>
      <c r="F102" s="93">
        <f>800000000+400000000</f>
        <v>1200000000</v>
      </c>
      <c r="G102" s="93"/>
      <c r="H102" s="142" t="s">
        <v>212</v>
      </c>
      <c r="I102" s="141" t="s">
        <v>213</v>
      </c>
      <c r="J102" s="124">
        <v>8</v>
      </c>
      <c r="K102" s="124">
        <v>8</v>
      </c>
      <c r="L102" s="124">
        <v>4</v>
      </c>
      <c r="M102" s="91">
        <v>1</v>
      </c>
      <c r="N102" s="98" t="s">
        <v>64</v>
      </c>
      <c r="O102" s="99" t="s">
        <v>65</v>
      </c>
      <c r="P102" s="100">
        <v>1</v>
      </c>
      <c r="Q102" s="101">
        <f t="shared" si="20"/>
        <v>1200000000</v>
      </c>
      <c r="R102" s="101">
        <f t="shared" si="21"/>
        <v>1200000000</v>
      </c>
      <c r="S102" s="102">
        <v>0</v>
      </c>
      <c r="T102" s="98">
        <v>0</v>
      </c>
      <c r="U102" s="27" t="str">
        <f t="shared" si="23"/>
        <v>SUBDIRECCION DE GESTION CONTRACTUAL</v>
      </c>
      <c r="V102" s="91" t="s">
        <v>207</v>
      </c>
      <c r="W102" s="27" t="s">
        <v>208</v>
      </c>
      <c r="X102" s="103" t="s">
        <v>154</v>
      </c>
      <c r="Y102" s="91">
        <v>2427400</v>
      </c>
      <c r="Z102" s="85" t="s">
        <v>155</v>
      </c>
    </row>
    <row r="103" spans="1:26" s="5" customFormat="1" ht="12.75" hidden="1" customHeight="1" x14ac:dyDescent="0.25">
      <c r="A103" s="90" t="s">
        <v>150</v>
      </c>
      <c r="B103" s="91">
        <v>49</v>
      </c>
      <c r="C103" s="92" t="s">
        <v>164</v>
      </c>
      <c r="D103" s="92" t="s">
        <v>165</v>
      </c>
      <c r="E103" s="93"/>
      <c r="F103" s="93">
        <f>700000000+1000000000-128000000-122000000</f>
        <v>1450000000</v>
      </c>
      <c r="G103" s="93"/>
      <c r="H103" s="94">
        <v>80111608</v>
      </c>
      <c r="I103" s="76" t="s">
        <v>214</v>
      </c>
      <c r="J103" s="95">
        <v>9</v>
      </c>
      <c r="K103" s="95">
        <v>9</v>
      </c>
      <c r="L103" s="97">
        <v>3</v>
      </c>
      <c r="M103" s="91">
        <f t="shared" ref="M103:M128" si="26">IF(ISBLANK(J103),"",1)</f>
        <v>1</v>
      </c>
      <c r="N103" s="98" t="s">
        <v>64</v>
      </c>
      <c r="O103" s="99" t="s">
        <v>65</v>
      </c>
      <c r="P103" s="100">
        <f t="shared" ref="P103:P138" si="27">IF(ISBLANK(N103),"",1)</f>
        <v>1</v>
      </c>
      <c r="Q103" s="101">
        <f t="shared" si="20"/>
        <v>1450000000</v>
      </c>
      <c r="R103" s="101">
        <f t="shared" si="21"/>
        <v>1450000000</v>
      </c>
      <c r="S103" s="102" t="s">
        <v>56</v>
      </c>
      <c r="T103" s="98">
        <f t="shared" ref="T103:T138" si="28">IF(ISBLANK(S103),"",IF(VALUE(S103)=0,0,IF(VALUE(S103)=1,3,"")))</f>
        <v>0</v>
      </c>
      <c r="U103" s="27" t="str">
        <f t="shared" si="23"/>
        <v>SUBDIRECCION DE GESTION CONTRACTUAL</v>
      </c>
      <c r="V103" s="91" t="str">
        <f t="shared" ref="V103:V138" si="29">IF(ISBLANK(N103),"","CO-DC")</f>
        <v>CO-DC</v>
      </c>
      <c r="W103" s="27" t="str">
        <f t="shared" ref="W103:W138" si="30">IF(ISBLANK(N103),"","Distrito Capital de Bogotá")</f>
        <v>Distrito Capital de Bogotá</v>
      </c>
      <c r="X103" s="103" t="s">
        <v>154</v>
      </c>
      <c r="Y103" s="91">
        <v>2427400</v>
      </c>
      <c r="Z103" s="85" t="s">
        <v>155</v>
      </c>
    </row>
    <row r="104" spans="1:26" s="5" customFormat="1" ht="12.75" hidden="1" customHeight="1" x14ac:dyDescent="0.25">
      <c r="A104" s="90" t="s">
        <v>150</v>
      </c>
      <c r="B104" s="91">
        <v>50</v>
      </c>
      <c r="C104" s="92" t="s">
        <v>151</v>
      </c>
      <c r="D104" s="92" t="s">
        <v>152</v>
      </c>
      <c r="E104" s="93"/>
      <c r="F104" s="93">
        <v>150000000</v>
      </c>
      <c r="G104" s="93"/>
      <c r="H104" s="94">
        <v>80111608</v>
      </c>
      <c r="I104" s="76" t="s">
        <v>214</v>
      </c>
      <c r="J104" s="95">
        <v>9</v>
      </c>
      <c r="K104" s="95">
        <v>9</v>
      </c>
      <c r="L104" s="97">
        <v>3</v>
      </c>
      <c r="M104" s="91">
        <f t="shared" si="26"/>
        <v>1</v>
      </c>
      <c r="N104" s="98" t="s">
        <v>64</v>
      </c>
      <c r="O104" s="99" t="s">
        <v>65</v>
      </c>
      <c r="P104" s="100">
        <f t="shared" si="27"/>
        <v>1</v>
      </c>
      <c r="Q104" s="101">
        <f t="shared" si="20"/>
        <v>150000000</v>
      </c>
      <c r="R104" s="101">
        <f t="shared" si="21"/>
        <v>150000000</v>
      </c>
      <c r="S104" s="102" t="s">
        <v>56</v>
      </c>
      <c r="T104" s="98">
        <f t="shared" si="28"/>
        <v>0</v>
      </c>
      <c r="U104" s="27" t="str">
        <f t="shared" si="23"/>
        <v>SUBDIRECCION DE GESTION CONTRACTUAL</v>
      </c>
      <c r="V104" s="91" t="str">
        <f t="shared" si="29"/>
        <v>CO-DC</v>
      </c>
      <c r="W104" s="27" t="str">
        <f t="shared" si="30"/>
        <v>Distrito Capital de Bogotá</v>
      </c>
      <c r="X104" s="103" t="s">
        <v>154</v>
      </c>
      <c r="Y104" s="91">
        <v>2427400</v>
      </c>
      <c r="Z104" s="85" t="s">
        <v>155</v>
      </c>
    </row>
    <row r="105" spans="1:26" s="5" customFormat="1" ht="12.75" hidden="1" customHeight="1" x14ac:dyDescent="0.2">
      <c r="A105" s="90" t="s">
        <v>150</v>
      </c>
      <c r="B105" s="91">
        <v>51</v>
      </c>
      <c r="C105" s="92" t="s">
        <v>191</v>
      </c>
      <c r="D105" s="92" t="s">
        <v>165</v>
      </c>
      <c r="E105" s="93"/>
      <c r="F105" s="93">
        <v>200000000</v>
      </c>
      <c r="G105" s="93"/>
      <c r="H105" s="139" t="s">
        <v>91</v>
      </c>
      <c r="I105" s="76" t="s">
        <v>215</v>
      </c>
      <c r="J105" s="104">
        <v>11</v>
      </c>
      <c r="K105" s="104">
        <v>11</v>
      </c>
      <c r="L105" s="124">
        <v>2</v>
      </c>
      <c r="M105" s="91">
        <f t="shared" si="26"/>
        <v>1</v>
      </c>
      <c r="N105" s="98" t="s">
        <v>87</v>
      </c>
      <c r="O105" s="99" t="s">
        <v>216</v>
      </c>
      <c r="P105" s="100">
        <f t="shared" si="27"/>
        <v>1</v>
      </c>
      <c r="Q105" s="101">
        <f t="shared" si="20"/>
        <v>200000000</v>
      </c>
      <c r="R105" s="101">
        <f t="shared" si="21"/>
        <v>200000000</v>
      </c>
      <c r="S105" s="102" t="s">
        <v>56</v>
      </c>
      <c r="T105" s="98">
        <f t="shared" si="28"/>
        <v>0</v>
      </c>
      <c r="U105" s="27" t="str">
        <f t="shared" si="23"/>
        <v>SUBDIRECCION DE GESTION CONTRACTUAL</v>
      </c>
      <c r="V105" s="91" t="str">
        <f t="shared" si="29"/>
        <v>CO-DC</v>
      </c>
      <c r="W105" s="27" t="str">
        <f t="shared" si="30"/>
        <v>Distrito Capital de Bogotá</v>
      </c>
      <c r="X105" s="103" t="s">
        <v>201</v>
      </c>
      <c r="Y105" s="91">
        <v>2427400</v>
      </c>
      <c r="Z105" s="105" t="s">
        <v>202</v>
      </c>
    </row>
    <row r="106" spans="1:26" s="5" customFormat="1" ht="12.75" hidden="1" customHeight="1" x14ac:dyDescent="0.25">
      <c r="A106" s="90" t="s">
        <v>217</v>
      </c>
      <c r="B106" s="91">
        <v>1</v>
      </c>
      <c r="C106" s="92" t="s">
        <v>218</v>
      </c>
      <c r="D106" s="92" t="s">
        <v>152</v>
      </c>
      <c r="E106" s="93"/>
      <c r="F106" s="93">
        <f>10263157661-1800000000-5200000000-2280000000-933157661</f>
        <v>50000000</v>
      </c>
      <c r="G106" s="93"/>
      <c r="H106" s="94" t="s">
        <v>219</v>
      </c>
      <c r="I106" s="143" t="s">
        <v>220</v>
      </c>
      <c r="J106" s="144">
        <v>10</v>
      </c>
      <c r="K106" s="144">
        <v>10</v>
      </c>
      <c r="L106" s="144">
        <v>2</v>
      </c>
      <c r="M106" s="91">
        <f t="shared" si="26"/>
        <v>1</v>
      </c>
      <c r="N106" s="98" t="s">
        <v>64</v>
      </c>
      <c r="O106" s="99" t="s">
        <v>65</v>
      </c>
      <c r="P106" s="100">
        <f t="shared" si="27"/>
        <v>1</v>
      </c>
      <c r="Q106" s="101">
        <f t="shared" si="20"/>
        <v>50000000</v>
      </c>
      <c r="R106" s="101">
        <f t="shared" si="21"/>
        <v>50000000</v>
      </c>
      <c r="S106" s="102" t="s">
        <v>56</v>
      </c>
      <c r="T106" s="98">
        <f t="shared" si="28"/>
        <v>0</v>
      </c>
      <c r="U106" s="27" t="str">
        <f t="shared" si="23"/>
        <v>SUBDIRECCION DE GESTION CONTRACTUAL</v>
      </c>
      <c r="V106" s="91" t="str">
        <f t="shared" si="29"/>
        <v>CO-DC</v>
      </c>
      <c r="W106" s="27" t="str">
        <f t="shared" si="30"/>
        <v>Distrito Capital de Bogotá</v>
      </c>
      <c r="X106" s="104" t="s">
        <v>221</v>
      </c>
      <c r="Y106" s="91">
        <v>2427401</v>
      </c>
      <c r="Z106" s="85" t="s">
        <v>222</v>
      </c>
    </row>
    <row r="107" spans="1:26" s="5" customFormat="1" ht="12.75" hidden="1" customHeight="1" x14ac:dyDescent="0.25">
      <c r="A107" s="90" t="s">
        <v>217</v>
      </c>
      <c r="B107" s="91">
        <v>2</v>
      </c>
      <c r="C107" s="92" t="s">
        <v>223</v>
      </c>
      <c r="D107" s="92" t="s">
        <v>224</v>
      </c>
      <c r="E107" s="93"/>
      <c r="F107" s="93">
        <f>39437700000-14575554553-2000000000-300000000-5300000000-8193645453-500000000</f>
        <v>8568499994</v>
      </c>
      <c r="G107" s="93"/>
      <c r="H107" s="94" t="s">
        <v>219</v>
      </c>
      <c r="I107" s="143" t="s">
        <v>225</v>
      </c>
      <c r="J107" s="144">
        <v>12</v>
      </c>
      <c r="K107" s="144">
        <v>12</v>
      </c>
      <c r="L107" s="144">
        <v>9</v>
      </c>
      <c r="M107" s="91">
        <f t="shared" si="26"/>
        <v>1</v>
      </c>
      <c r="N107" s="98" t="s">
        <v>64</v>
      </c>
      <c r="O107" s="99" t="s">
        <v>65</v>
      </c>
      <c r="P107" s="100">
        <f t="shared" si="27"/>
        <v>1</v>
      </c>
      <c r="Q107" s="101">
        <f t="shared" ref="Q107:Q131" si="31">+E107+F107+G107</f>
        <v>8568499994</v>
      </c>
      <c r="R107" s="101">
        <f t="shared" ref="R107:R131" si="32">+F107</f>
        <v>8568499994</v>
      </c>
      <c r="S107" s="102" t="s">
        <v>56</v>
      </c>
      <c r="T107" s="98">
        <f t="shared" si="28"/>
        <v>0</v>
      </c>
      <c r="U107" s="27" t="str">
        <f t="shared" ref="U107:U138" si="33">IF(ISBLANK(N107),"","SUBDIRECCION DE GESTION CONTRACTUAL")</f>
        <v>SUBDIRECCION DE GESTION CONTRACTUAL</v>
      </c>
      <c r="V107" s="91" t="str">
        <f t="shared" si="29"/>
        <v>CO-DC</v>
      </c>
      <c r="W107" s="27" t="str">
        <f t="shared" si="30"/>
        <v>Distrito Capital de Bogotá</v>
      </c>
      <c r="X107" s="104" t="s">
        <v>221</v>
      </c>
      <c r="Y107" s="91">
        <v>2427401</v>
      </c>
      <c r="Z107" s="85" t="s">
        <v>222</v>
      </c>
    </row>
    <row r="108" spans="1:26" s="5" customFormat="1" ht="12.75" hidden="1" customHeight="1" x14ac:dyDescent="0.25">
      <c r="A108" s="90" t="s">
        <v>217</v>
      </c>
      <c r="B108" s="91">
        <v>3</v>
      </c>
      <c r="C108" s="92" t="s">
        <v>226</v>
      </c>
      <c r="D108" s="92" t="s">
        <v>224</v>
      </c>
      <c r="E108" s="93"/>
      <c r="F108" s="93">
        <f>3400000000-150000000-250000000</f>
        <v>3000000000</v>
      </c>
      <c r="G108" s="93"/>
      <c r="H108" s="94" t="s">
        <v>219</v>
      </c>
      <c r="I108" s="76" t="s">
        <v>227</v>
      </c>
      <c r="J108" s="95">
        <v>8</v>
      </c>
      <c r="K108" s="95">
        <v>8</v>
      </c>
      <c r="L108" s="97">
        <v>4</v>
      </c>
      <c r="M108" s="91">
        <f t="shared" si="26"/>
        <v>1</v>
      </c>
      <c r="N108" s="98" t="s">
        <v>64</v>
      </c>
      <c r="O108" s="99" t="s">
        <v>65</v>
      </c>
      <c r="P108" s="100">
        <f t="shared" si="27"/>
        <v>1</v>
      </c>
      <c r="Q108" s="101">
        <f t="shared" si="31"/>
        <v>3000000000</v>
      </c>
      <c r="R108" s="101">
        <f t="shared" si="32"/>
        <v>3000000000</v>
      </c>
      <c r="S108" s="102" t="s">
        <v>56</v>
      </c>
      <c r="T108" s="98">
        <f t="shared" si="28"/>
        <v>0</v>
      </c>
      <c r="U108" s="27" t="str">
        <f t="shared" si="33"/>
        <v>SUBDIRECCION DE GESTION CONTRACTUAL</v>
      </c>
      <c r="V108" s="91" t="str">
        <f t="shared" si="29"/>
        <v>CO-DC</v>
      </c>
      <c r="W108" s="27" t="str">
        <f t="shared" si="30"/>
        <v>Distrito Capital de Bogotá</v>
      </c>
      <c r="X108" s="104" t="s">
        <v>221</v>
      </c>
      <c r="Y108" s="91">
        <v>2427401</v>
      </c>
      <c r="Z108" s="85" t="s">
        <v>222</v>
      </c>
    </row>
    <row r="109" spans="1:26" s="5" customFormat="1" ht="12.75" hidden="1" customHeight="1" x14ac:dyDescent="0.25">
      <c r="A109" s="90" t="s">
        <v>217</v>
      </c>
      <c r="B109" s="91">
        <v>4</v>
      </c>
      <c r="C109" s="92" t="s">
        <v>228</v>
      </c>
      <c r="D109" s="92" t="s">
        <v>224</v>
      </c>
      <c r="E109" s="93"/>
      <c r="F109" s="93">
        <v>550000000</v>
      </c>
      <c r="G109" s="93"/>
      <c r="H109" s="94" t="s">
        <v>67</v>
      </c>
      <c r="I109" s="76" t="s">
        <v>229</v>
      </c>
      <c r="J109" s="95">
        <v>2</v>
      </c>
      <c r="K109" s="96">
        <v>3</v>
      </c>
      <c r="L109" s="97">
        <v>9</v>
      </c>
      <c r="M109" s="91">
        <f t="shared" si="26"/>
        <v>1</v>
      </c>
      <c r="N109" s="98" t="s">
        <v>69</v>
      </c>
      <c r="O109" s="99" t="s">
        <v>70</v>
      </c>
      <c r="P109" s="100">
        <f t="shared" si="27"/>
        <v>1</v>
      </c>
      <c r="Q109" s="101">
        <f t="shared" si="31"/>
        <v>550000000</v>
      </c>
      <c r="R109" s="101">
        <f t="shared" si="32"/>
        <v>550000000</v>
      </c>
      <c r="S109" s="102" t="s">
        <v>56</v>
      </c>
      <c r="T109" s="98">
        <f t="shared" si="28"/>
        <v>0</v>
      </c>
      <c r="U109" s="27" t="str">
        <f t="shared" si="33"/>
        <v>SUBDIRECCION DE GESTION CONTRACTUAL</v>
      </c>
      <c r="V109" s="91" t="str">
        <f t="shared" si="29"/>
        <v>CO-DC</v>
      </c>
      <c r="W109" s="27" t="str">
        <f t="shared" si="30"/>
        <v>Distrito Capital de Bogotá</v>
      </c>
      <c r="X109" s="104" t="s">
        <v>221</v>
      </c>
      <c r="Y109" s="91">
        <v>2427401</v>
      </c>
      <c r="Z109" s="145" t="s">
        <v>222</v>
      </c>
    </row>
    <row r="110" spans="1:26" s="5" customFormat="1" ht="12.75" hidden="1" customHeight="1" x14ac:dyDescent="0.25">
      <c r="A110" s="90" t="s">
        <v>217</v>
      </c>
      <c r="B110" s="91">
        <v>5</v>
      </c>
      <c r="C110" s="92" t="s">
        <v>230</v>
      </c>
      <c r="D110" s="92" t="s">
        <v>224</v>
      </c>
      <c r="E110" s="93"/>
      <c r="F110" s="93">
        <f>4800000000-2262170637+2262170637</f>
        <v>4800000000</v>
      </c>
      <c r="G110" s="93"/>
      <c r="H110" s="94" t="s">
        <v>67</v>
      </c>
      <c r="I110" s="76" t="s">
        <v>229</v>
      </c>
      <c r="J110" s="95">
        <v>2</v>
      </c>
      <c r="K110" s="96">
        <v>3</v>
      </c>
      <c r="L110" s="97">
        <v>9</v>
      </c>
      <c r="M110" s="91">
        <f t="shared" si="26"/>
        <v>1</v>
      </c>
      <c r="N110" s="98" t="s">
        <v>69</v>
      </c>
      <c r="O110" s="99" t="s">
        <v>70</v>
      </c>
      <c r="P110" s="100">
        <f t="shared" si="27"/>
        <v>1</v>
      </c>
      <c r="Q110" s="101">
        <f t="shared" si="31"/>
        <v>4800000000</v>
      </c>
      <c r="R110" s="101">
        <f t="shared" si="32"/>
        <v>4800000000</v>
      </c>
      <c r="S110" s="102" t="s">
        <v>56</v>
      </c>
      <c r="T110" s="98">
        <f t="shared" si="28"/>
        <v>0</v>
      </c>
      <c r="U110" s="27" t="str">
        <f t="shared" si="33"/>
        <v>SUBDIRECCION DE GESTION CONTRACTUAL</v>
      </c>
      <c r="V110" s="91" t="str">
        <f t="shared" si="29"/>
        <v>CO-DC</v>
      </c>
      <c r="W110" s="27" t="str">
        <f t="shared" si="30"/>
        <v>Distrito Capital de Bogotá</v>
      </c>
      <c r="X110" s="104" t="s">
        <v>221</v>
      </c>
      <c r="Y110" s="91">
        <v>2427401</v>
      </c>
      <c r="Z110" s="85" t="s">
        <v>222</v>
      </c>
    </row>
    <row r="111" spans="1:26" s="5" customFormat="1" ht="12.75" hidden="1" customHeight="1" x14ac:dyDescent="0.25">
      <c r="A111" s="90" t="s">
        <v>217</v>
      </c>
      <c r="B111" s="91">
        <v>6</v>
      </c>
      <c r="C111" s="92" t="s">
        <v>231</v>
      </c>
      <c r="D111" s="92" t="s">
        <v>224</v>
      </c>
      <c r="E111" s="93"/>
      <c r="F111" s="93">
        <v>1500000000</v>
      </c>
      <c r="G111" s="93"/>
      <c r="H111" s="94" t="s">
        <v>219</v>
      </c>
      <c r="I111" s="143" t="s">
        <v>225</v>
      </c>
      <c r="J111" s="144">
        <v>12</v>
      </c>
      <c r="K111" s="144">
        <v>12</v>
      </c>
      <c r="L111" s="144">
        <v>9</v>
      </c>
      <c r="M111" s="91">
        <f t="shared" si="26"/>
        <v>1</v>
      </c>
      <c r="N111" s="98" t="s">
        <v>64</v>
      </c>
      <c r="O111" s="99" t="s">
        <v>65</v>
      </c>
      <c r="P111" s="100">
        <f t="shared" si="27"/>
        <v>1</v>
      </c>
      <c r="Q111" s="101">
        <f t="shared" si="31"/>
        <v>1500000000</v>
      </c>
      <c r="R111" s="101">
        <f t="shared" si="32"/>
        <v>1500000000</v>
      </c>
      <c r="S111" s="102" t="s">
        <v>56</v>
      </c>
      <c r="T111" s="98">
        <f t="shared" si="28"/>
        <v>0</v>
      </c>
      <c r="U111" s="27" t="str">
        <f t="shared" si="33"/>
        <v>SUBDIRECCION DE GESTION CONTRACTUAL</v>
      </c>
      <c r="V111" s="91" t="str">
        <f t="shared" si="29"/>
        <v>CO-DC</v>
      </c>
      <c r="W111" s="27" t="str">
        <f t="shared" si="30"/>
        <v>Distrito Capital de Bogotá</v>
      </c>
      <c r="X111" s="104" t="s">
        <v>221</v>
      </c>
      <c r="Y111" s="91">
        <v>2427401</v>
      </c>
      <c r="Z111" s="85" t="s">
        <v>222</v>
      </c>
    </row>
    <row r="112" spans="1:26" s="5" customFormat="1" ht="12.75" hidden="1" customHeight="1" x14ac:dyDescent="0.25">
      <c r="A112" s="90" t="s">
        <v>217</v>
      </c>
      <c r="B112" s="91">
        <v>7</v>
      </c>
      <c r="C112" s="92" t="s">
        <v>232</v>
      </c>
      <c r="D112" s="92" t="s">
        <v>224</v>
      </c>
      <c r="E112" s="93"/>
      <c r="F112" s="93">
        <v>100000000</v>
      </c>
      <c r="G112" s="93"/>
      <c r="H112" s="94" t="s">
        <v>67</v>
      </c>
      <c r="I112" s="76" t="s">
        <v>229</v>
      </c>
      <c r="J112" s="95">
        <v>2</v>
      </c>
      <c r="K112" s="96">
        <v>3</v>
      </c>
      <c r="L112" s="97">
        <v>9</v>
      </c>
      <c r="M112" s="91">
        <f t="shared" si="26"/>
        <v>1</v>
      </c>
      <c r="N112" s="98" t="s">
        <v>69</v>
      </c>
      <c r="O112" s="99" t="s">
        <v>70</v>
      </c>
      <c r="P112" s="100">
        <f t="shared" si="27"/>
        <v>1</v>
      </c>
      <c r="Q112" s="101">
        <f t="shared" si="31"/>
        <v>100000000</v>
      </c>
      <c r="R112" s="101">
        <f t="shared" si="32"/>
        <v>100000000</v>
      </c>
      <c r="S112" s="102" t="s">
        <v>56</v>
      </c>
      <c r="T112" s="98">
        <f t="shared" si="28"/>
        <v>0</v>
      </c>
      <c r="U112" s="27" t="str">
        <f t="shared" si="33"/>
        <v>SUBDIRECCION DE GESTION CONTRACTUAL</v>
      </c>
      <c r="V112" s="91" t="str">
        <f t="shared" si="29"/>
        <v>CO-DC</v>
      </c>
      <c r="W112" s="27" t="str">
        <f t="shared" si="30"/>
        <v>Distrito Capital de Bogotá</v>
      </c>
      <c r="X112" s="104" t="s">
        <v>221</v>
      </c>
      <c r="Y112" s="91">
        <v>2427401</v>
      </c>
      <c r="Z112" s="85" t="s">
        <v>222</v>
      </c>
    </row>
    <row r="113" spans="1:26" s="5" customFormat="1" ht="12.75" hidden="1" customHeight="1" x14ac:dyDescent="0.25">
      <c r="A113" s="90" t="s">
        <v>217</v>
      </c>
      <c r="B113" s="91">
        <v>8</v>
      </c>
      <c r="C113" s="92" t="s">
        <v>233</v>
      </c>
      <c r="D113" s="92" t="s">
        <v>224</v>
      </c>
      <c r="E113" s="93"/>
      <c r="F113" s="93">
        <f>10000000000+2000000000-480757422</f>
        <v>11519242578</v>
      </c>
      <c r="G113" s="93"/>
      <c r="H113" s="94">
        <v>80111600</v>
      </c>
      <c r="I113" s="76" t="s">
        <v>234</v>
      </c>
      <c r="J113" s="95">
        <v>1</v>
      </c>
      <c r="K113" s="96">
        <v>1</v>
      </c>
      <c r="L113" s="97">
        <v>12</v>
      </c>
      <c r="M113" s="91">
        <f t="shared" si="26"/>
        <v>1</v>
      </c>
      <c r="N113" s="98" t="s">
        <v>54</v>
      </c>
      <c r="O113" s="99" t="s">
        <v>55</v>
      </c>
      <c r="P113" s="100">
        <f t="shared" si="27"/>
        <v>1</v>
      </c>
      <c r="Q113" s="101">
        <f t="shared" si="31"/>
        <v>11519242578</v>
      </c>
      <c r="R113" s="101">
        <f t="shared" si="32"/>
        <v>11519242578</v>
      </c>
      <c r="S113" s="102" t="s">
        <v>56</v>
      </c>
      <c r="T113" s="98">
        <f t="shared" si="28"/>
        <v>0</v>
      </c>
      <c r="U113" s="27" t="str">
        <f t="shared" si="33"/>
        <v>SUBDIRECCION DE GESTION CONTRACTUAL</v>
      </c>
      <c r="V113" s="91" t="str">
        <f t="shared" si="29"/>
        <v>CO-DC</v>
      </c>
      <c r="W113" s="27" t="str">
        <f t="shared" si="30"/>
        <v>Distrito Capital de Bogotá</v>
      </c>
      <c r="X113" s="104" t="s">
        <v>221</v>
      </c>
      <c r="Y113" s="91">
        <v>2427401</v>
      </c>
      <c r="Z113" s="85" t="s">
        <v>222</v>
      </c>
    </row>
    <row r="114" spans="1:26" s="5" customFormat="1" ht="12.75" hidden="1" customHeight="1" x14ac:dyDescent="0.25">
      <c r="A114" s="90" t="s">
        <v>217</v>
      </c>
      <c r="B114" s="91">
        <v>9</v>
      </c>
      <c r="C114" s="92" t="s">
        <v>233</v>
      </c>
      <c r="D114" s="92" t="s">
        <v>224</v>
      </c>
      <c r="E114" s="93"/>
      <c r="F114" s="93">
        <f>1000000000-106674810</f>
        <v>893325190</v>
      </c>
      <c r="G114" s="93"/>
      <c r="H114" s="94" t="s">
        <v>71</v>
      </c>
      <c r="I114" s="76" t="s">
        <v>235</v>
      </c>
      <c r="J114" s="95">
        <v>2</v>
      </c>
      <c r="K114" s="96">
        <v>3</v>
      </c>
      <c r="L114" s="97">
        <v>10</v>
      </c>
      <c r="M114" s="91">
        <f t="shared" si="26"/>
        <v>1</v>
      </c>
      <c r="N114" s="98" t="s">
        <v>64</v>
      </c>
      <c r="O114" s="99" t="s">
        <v>65</v>
      </c>
      <c r="P114" s="100">
        <f t="shared" si="27"/>
        <v>1</v>
      </c>
      <c r="Q114" s="101">
        <f t="shared" si="31"/>
        <v>893325190</v>
      </c>
      <c r="R114" s="101">
        <f t="shared" si="32"/>
        <v>893325190</v>
      </c>
      <c r="S114" s="102" t="s">
        <v>56</v>
      </c>
      <c r="T114" s="98">
        <f t="shared" si="28"/>
        <v>0</v>
      </c>
      <c r="U114" s="27" t="str">
        <f t="shared" si="33"/>
        <v>SUBDIRECCION DE GESTION CONTRACTUAL</v>
      </c>
      <c r="V114" s="91" t="str">
        <f t="shared" si="29"/>
        <v>CO-DC</v>
      </c>
      <c r="W114" s="27" t="str">
        <f t="shared" si="30"/>
        <v>Distrito Capital de Bogotá</v>
      </c>
      <c r="X114" s="104" t="s">
        <v>221</v>
      </c>
      <c r="Y114" s="91">
        <v>2427401</v>
      </c>
      <c r="Z114" s="85" t="s">
        <v>222</v>
      </c>
    </row>
    <row r="115" spans="1:26" s="5" customFormat="1" ht="12.75" hidden="1" customHeight="1" x14ac:dyDescent="0.25">
      <c r="A115" s="90" t="s">
        <v>217</v>
      </c>
      <c r="B115" s="91">
        <v>10</v>
      </c>
      <c r="C115" s="92" t="s">
        <v>233</v>
      </c>
      <c r="D115" s="92" t="s">
        <v>224</v>
      </c>
      <c r="E115" s="93"/>
      <c r="F115" s="93">
        <v>800000000</v>
      </c>
      <c r="G115" s="93"/>
      <c r="H115" s="94" t="s">
        <v>59</v>
      </c>
      <c r="I115" s="76" t="s">
        <v>236</v>
      </c>
      <c r="J115" s="95">
        <v>3</v>
      </c>
      <c r="K115" s="96">
        <v>4</v>
      </c>
      <c r="L115" s="97">
        <v>9</v>
      </c>
      <c r="M115" s="91">
        <f t="shared" si="26"/>
        <v>1</v>
      </c>
      <c r="N115" s="98" t="s">
        <v>61</v>
      </c>
      <c r="O115" s="99" t="s">
        <v>62</v>
      </c>
      <c r="P115" s="100">
        <f t="shared" si="27"/>
        <v>1</v>
      </c>
      <c r="Q115" s="101">
        <f t="shared" si="31"/>
        <v>800000000</v>
      </c>
      <c r="R115" s="101">
        <f t="shared" si="32"/>
        <v>800000000</v>
      </c>
      <c r="S115" s="102" t="s">
        <v>56</v>
      </c>
      <c r="T115" s="98">
        <f t="shared" si="28"/>
        <v>0</v>
      </c>
      <c r="U115" s="27" t="str">
        <f t="shared" si="33"/>
        <v>SUBDIRECCION DE GESTION CONTRACTUAL</v>
      </c>
      <c r="V115" s="91" t="str">
        <f t="shared" si="29"/>
        <v>CO-DC</v>
      </c>
      <c r="W115" s="27" t="str">
        <f t="shared" si="30"/>
        <v>Distrito Capital de Bogotá</v>
      </c>
      <c r="X115" s="104" t="s">
        <v>221</v>
      </c>
      <c r="Y115" s="91">
        <v>2427401</v>
      </c>
      <c r="Z115" s="85" t="s">
        <v>222</v>
      </c>
    </row>
    <row r="116" spans="1:26" s="5" customFormat="1" ht="12.75" hidden="1" customHeight="1" x14ac:dyDescent="0.25">
      <c r="A116" s="90" t="s">
        <v>217</v>
      </c>
      <c r="B116" s="91">
        <v>11</v>
      </c>
      <c r="C116" s="92" t="s">
        <v>237</v>
      </c>
      <c r="D116" s="92" t="s">
        <v>224</v>
      </c>
      <c r="E116" s="93"/>
      <c r="F116" s="93">
        <v>500000000</v>
      </c>
      <c r="G116" s="93"/>
      <c r="H116" s="94" t="s">
        <v>219</v>
      </c>
      <c r="I116" s="143" t="s">
        <v>225</v>
      </c>
      <c r="J116" s="144">
        <v>12</v>
      </c>
      <c r="K116" s="144">
        <v>12</v>
      </c>
      <c r="L116" s="144">
        <v>9</v>
      </c>
      <c r="M116" s="91">
        <f t="shared" si="26"/>
        <v>1</v>
      </c>
      <c r="N116" s="98" t="s">
        <v>64</v>
      </c>
      <c r="O116" s="99" t="s">
        <v>65</v>
      </c>
      <c r="P116" s="100">
        <f t="shared" si="27"/>
        <v>1</v>
      </c>
      <c r="Q116" s="101">
        <f t="shared" si="31"/>
        <v>500000000</v>
      </c>
      <c r="R116" s="101">
        <f t="shared" si="32"/>
        <v>500000000</v>
      </c>
      <c r="S116" s="102" t="s">
        <v>56</v>
      </c>
      <c r="T116" s="98">
        <f t="shared" si="28"/>
        <v>0</v>
      </c>
      <c r="U116" s="27" t="str">
        <f t="shared" si="33"/>
        <v>SUBDIRECCION DE GESTION CONTRACTUAL</v>
      </c>
      <c r="V116" s="91" t="str">
        <f t="shared" si="29"/>
        <v>CO-DC</v>
      </c>
      <c r="W116" s="27" t="str">
        <f t="shared" si="30"/>
        <v>Distrito Capital de Bogotá</v>
      </c>
      <c r="X116" s="104" t="s">
        <v>221</v>
      </c>
      <c r="Y116" s="91">
        <v>2427401</v>
      </c>
      <c r="Z116" s="85" t="s">
        <v>222</v>
      </c>
    </row>
    <row r="117" spans="1:26" s="5" customFormat="1" ht="12.75" hidden="1" customHeight="1" x14ac:dyDescent="0.25">
      <c r="A117" s="90" t="s">
        <v>217</v>
      </c>
      <c r="B117" s="91">
        <v>12</v>
      </c>
      <c r="C117" s="92" t="s">
        <v>238</v>
      </c>
      <c r="D117" s="92" t="s">
        <v>224</v>
      </c>
      <c r="E117" s="93"/>
      <c r="F117" s="93">
        <f>350000000-50000000</f>
        <v>300000000</v>
      </c>
      <c r="G117" s="93"/>
      <c r="H117" s="94" t="s">
        <v>219</v>
      </c>
      <c r="I117" s="143" t="s">
        <v>220</v>
      </c>
      <c r="J117" s="144">
        <v>12</v>
      </c>
      <c r="K117" s="144">
        <v>12</v>
      </c>
      <c r="L117" s="144">
        <v>9</v>
      </c>
      <c r="M117" s="91">
        <f t="shared" si="26"/>
        <v>1</v>
      </c>
      <c r="N117" s="98" t="s">
        <v>64</v>
      </c>
      <c r="O117" s="99" t="s">
        <v>65</v>
      </c>
      <c r="P117" s="100">
        <f t="shared" si="27"/>
        <v>1</v>
      </c>
      <c r="Q117" s="101">
        <f t="shared" si="31"/>
        <v>300000000</v>
      </c>
      <c r="R117" s="101">
        <f t="shared" si="32"/>
        <v>300000000</v>
      </c>
      <c r="S117" s="102" t="s">
        <v>56</v>
      </c>
      <c r="T117" s="98">
        <f t="shared" si="28"/>
        <v>0</v>
      </c>
      <c r="U117" s="27" t="str">
        <f t="shared" si="33"/>
        <v>SUBDIRECCION DE GESTION CONTRACTUAL</v>
      </c>
      <c r="V117" s="91" t="str">
        <f t="shared" si="29"/>
        <v>CO-DC</v>
      </c>
      <c r="W117" s="27" t="str">
        <f t="shared" si="30"/>
        <v>Distrito Capital de Bogotá</v>
      </c>
      <c r="X117" s="104" t="s">
        <v>221</v>
      </c>
      <c r="Y117" s="91">
        <v>2427401</v>
      </c>
      <c r="Z117" s="85" t="s">
        <v>222</v>
      </c>
    </row>
    <row r="118" spans="1:26" s="5" customFormat="1" ht="12.75" hidden="1" customHeight="1" x14ac:dyDescent="0.25">
      <c r="A118" s="90" t="s">
        <v>217</v>
      </c>
      <c r="B118" s="91">
        <v>13</v>
      </c>
      <c r="C118" s="92" t="s">
        <v>239</v>
      </c>
      <c r="D118" s="92" t="s">
        <v>224</v>
      </c>
      <c r="E118" s="93"/>
      <c r="F118" s="93">
        <v>800000000</v>
      </c>
      <c r="G118" s="93"/>
      <c r="H118" s="94" t="s">
        <v>67</v>
      </c>
      <c r="I118" s="76" t="s">
        <v>229</v>
      </c>
      <c r="J118" s="95">
        <v>2</v>
      </c>
      <c r="K118" s="96">
        <v>3</v>
      </c>
      <c r="L118" s="97">
        <v>9</v>
      </c>
      <c r="M118" s="91">
        <f t="shared" si="26"/>
        <v>1</v>
      </c>
      <c r="N118" s="98" t="s">
        <v>69</v>
      </c>
      <c r="O118" s="99" t="s">
        <v>70</v>
      </c>
      <c r="P118" s="100">
        <f t="shared" si="27"/>
        <v>1</v>
      </c>
      <c r="Q118" s="101">
        <f t="shared" si="31"/>
        <v>800000000</v>
      </c>
      <c r="R118" s="101">
        <f t="shared" si="32"/>
        <v>800000000</v>
      </c>
      <c r="S118" s="102" t="s">
        <v>56</v>
      </c>
      <c r="T118" s="98">
        <f t="shared" si="28"/>
        <v>0</v>
      </c>
      <c r="U118" s="27" t="str">
        <f t="shared" si="33"/>
        <v>SUBDIRECCION DE GESTION CONTRACTUAL</v>
      </c>
      <c r="V118" s="91" t="str">
        <f t="shared" si="29"/>
        <v>CO-DC</v>
      </c>
      <c r="W118" s="27" t="str">
        <f t="shared" si="30"/>
        <v>Distrito Capital de Bogotá</v>
      </c>
      <c r="X118" s="104" t="s">
        <v>221</v>
      </c>
      <c r="Y118" s="91">
        <v>2427401</v>
      </c>
      <c r="Z118" s="85" t="s">
        <v>222</v>
      </c>
    </row>
    <row r="119" spans="1:26" s="5" customFormat="1" ht="12.75" hidden="1" customHeight="1" x14ac:dyDescent="0.25">
      <c r="A119" s="90" t="s">
        <v>217</v>
      </c>
      <c r="B119" s="91">
        <v>14</v>
      </c>
      <c r="C119" s="92" t="s">
        <v>240</v>
      </c>
      <c r="D119" s="92" t="s">
        <v>224</v>
      </c>
      <c r="E119" s="93"/>
      <c r="F119" s="93">
        <v>200000000</v>
      </c>
      <c r="G119" s="93"/>
      <c r="H119" s="94" t="s">
        <v>67</v>
      </c>
      <c r="I119" s="76" t="s">
        <v>229</v>
      </c>
      <c r="J119" s="95">
        <v>2</v>
      </c>
      <c r="K119" s="96">
        <v>3</v>
      </c>
      <c r="L119" s="97">
        <v>9</v>
      </c>
      <c r="M119" s="91">
        <f t="shared" si="26"/>
        <v>1</v>
      </c>
      <c r="N119" s="98" t="s">
        <v>69</v>
      </c>
      <c r="O119" s="99" t="s">
        <v>70</v>
      </c>
      <c r="P119" s="100">
        <f t="shared" si="27"/>
        <v>1</v>
      </c>
      <c r="Q119" s="101">
        <f t="shared" si="31"/>
        <v>200000000</v>
      </c>
      <c r="R119" s="101">
        <f t="shared" si="32"/>
        <v>200000000</v>
      </c>
      <c r="S119" s="102" t="s">
        <v>56</v>
      </c>
      <c r="T119" s="98">
        <f t="shared" si="28"/>
        <v>0</v>
      </c>
      <c r="U119" s="27" t="str">
        <f t="shared" si="33"/>
        <v>SUBDIRECCION DE GESTION CONTRACTUAL</v>
      </c>
      <c r="V119" s="91" t="str">
        <f t="shared" si="29"/>
        <v>CO-DC</v>
      </c>
      <c r="W119" s="27" t="str">
        <f t="shared" si="30"/>
        <v>Distrito Capital de Bogotá</v>
      </c>
      <c r="X119" s="104" t="s">
        <v>221</v>
      </c>
      <c r="Y119" s="91">
        <v>2427401</v>
      </c>
      <c r="Z119" s="85" t="s">
        <v>222</v>
      </c>
    </row>
    <row r="120" spans="1:26" s="5" customFormat="1" ht="12.75" hidden="1" customHeight="1" x14ac:dyDescent="0.25">
      <c r="A120" s="90" t="s">
        <v>217</v>
      </c>
      <c r="B120" s="91">
        <v>15</v>
      </c>
      <c r="C120" s="92" t="s">
        <v>241</v>
      </c>
      <c r="D120" s="92" t="s">
        <v>224</v>
      </c>
      <c r="E120" s="93"/>
      <c r="F120" s="93">
        <v>200000000</v>
      </c>
      <c r="G120" s="93"/>
      <c r="H120" s="94" t="s">
        <v>67</v>
      </c>
      <c r="I120" s="76" t="s">
        <v>229</v>
      </c>
      <c r="J120" s="95">
        <v>2</v>
      </c>
      <c r="K120" s="96">
        <v>3</v>
      </c>
      <c r="L120" s="97">
        <v>9</v>
      </c>
      <c r="M120" s="91">
        <f t="shared" si="26"/>
        <v>1</v>
      </c>
      <c r="N120" s="98" t="s">
        <v>69</v>
      </c>
      <c r="O120" s="99" t="s">
        <v>70</v>
      </c>
      <c r="P120" s="100">
        <f t="shared" si="27"/>
        <v>1</v>
      </c>
      <c r="Q120" s="101">
        <f t="shared" si="31"/>
        <v>200000000</v>
      </c>
      <c r="R120" s="101">
        <f t="shared" si="32"/>
        <v>200000000</v>
      </c>
      <c r="S120" s="102" t="s">
        <v>56</v>
      </c>
      <c r="T120" s="98">
        <f t="shared" si="28"/>
        <v>0</v>
      </c>
      <c r="U120" s="27" t="str">
        <f t="shared" si="33"/>
        <v>SUBDIRECCION DE GESTION CONTRACTUAL</v>
      </c>
      <c r="V120" s="91" t="str">
        <f t="shared" si="29"/>
        <v>CO-DC</v>
      </c>
      <c r="W120" s="27" t="str">
        <f t="shared" si="30"/>
        <v>Distrito Capital de Bogotá</v>
      </c>
      <c r="X120" s="104" t="s">
        <v>221</v>
      </c>
      <c r="Y120" s="91">
        <v>2427401</v>
      </c>
      <c r="Z120" s="85" t="s">
        <v>222</v>
      </c>
    </row>
    <row r="121" spans="1:26" s="5" customFormat="1" ht="12.75" hidden="1" customHeight="1" x14ac:dyDescent="0.25">
      <c r="A121" s="90" t="s">
        <v>217</v>
      </c>
      <c r="B121" s="91">
        <v>16</v>
      </c>
      <c r="C121" s="92" t="s">
        <v>242</v>
      </c>
      <c r="D121" s="92" t="s">
        <v>224</v>
      </c>
      <c r="E121" s="93"/>
      <c r="F121" s="93">
        <v>500000000</v>
      </c>
      <c r="G121" s="93"/>
      <c r="H121" s="94" t="s">
        <v>67</v>
      </c>
      <c r="I121" s="76" t="s">
        <v>229</v>
      </c>
      <c r="J121" s="95">
        <v>2</v>
      </c>
      <c r="K121" s="96">
        <v>3</v>
      </c>
      <c r="L121" s="97">
        <v>9</v>
      </c>
      <c r="M121" s="91">
        <f t="shared" si="26"/>
        <v>1</v>
      </c>
      <c r="N121" s="98" t="s">
        <v>69</v>
      </c>
      <c r="O121" s="99" t="s">
        <v>70</v>
      </c>
      <c r="P121" s="100">
        <f t="shared" si="27"/>
        <v>1</v>
      </c>
      <c r="Q121" s="101">
        <f t="shared" si="31"/>
        <v>500000000</v>
      </c>
      <c r="R121" s="101">
        <f t="shared" si="32"/>
        <v>500000000</v>
      </c>
      <c r="S121" s="102" t="s">
        <v>56</v>
      </c>
      <c r="T121" s="98">
        <f t="shared" si="28"/>
        <v>0</v>
      </c>
      <c r="U121" s="27" t="str">
        <f t="shared" si="33"/>
        <v>SUBDIRECCION DE GESTION CONTRACTUAL</v>
      </c>
      <c r="V121" s="91" t="str">
        <f t="shared" si="29"/>
        <v>CO-DC</v>
      </c>
      <c r="W121" s="27" t="str">
        <f t="shared" si="30"/>
        <v>Distrito Capital de Bogotá</v>
      </c>
      <c r="X121" s="104" t="s">
        <v>221</v>
      </c>
      <c r="Y121" s="91">
        <v>2427401</v>
      </c>
      <c r="Z121" s="85" t="s">
        <v>222</v>
      </c>
    </row>
    <row r="122" spans="1:26" s="5" customFormat="1" ht="12.75" hidden="1" customHeight="1" x14ac:dyDescent="0.25">
      <c r="A122" s="90" t="s">
        <v>217</v>
      </c>
      <c r="B122" s="91">
        <v>17</v>
      </c>
      <c r="C122" s="92" t="s">
        <v>223</v>
      </c>
      <c r="D122" s="92" t="s">
        <v>243</v>
      </c>
      <c r="E122" s="93"/>
      <c r="F122" s="93">
        <v>8562300000</v>
      </c>
      <c r="G122" s="93"/>
      <c r="H122" s="94" t="s">
        <v>219</v>
      </c>
      <c r="I122" s="134" t="s">
        <v>244</v>
      </c>
      <c r="J122" s="144">
        <v>9</v>
      </c>
      <c r="K122" s="144">
        <v>9</v>
      </c>
      <c r="L122" s="144">
        <v>3</v>
      </c>
      <c r="M122" s="91">
        <f t="shared" si="26"/>
        <v>1</v>
      </c>
      <c r="N122" s="98" t="s">
        <v>64</v>
      </c>
      <c r="O122" s="99" t="s">
        <v>65</v>
      </c>
      <c r="P122" s="100">
        <f t="shared" si="27"/>
        <v>1</v>
      </c>
      <c r="Q122" s="101">
        <f t="shared" si="31"/>
        <v>8562300000</v>
      </c>
      <c r="R122" s="101">
        <f t="shared" si="32"/>
        <v>8562300000</v>
      </c>
      <c r="S122" s="102" t="s">
        <v>56</v>
      </c>
      <c r="T122" s="98">
        <f t="shared" si="28"/>
        <v>0</v>
      </c>
      <c r="U122" s="27" t="str">
        <f t="shared" si="33"/>
        <v>SUBDIRECCION DE GESTION CONTRACTUAL</v>
      </c>
      <c r="V122" s="91" t="str">
        <f t="shared" si="29"/>
        <v>CO-DC</v>
      </c>
      <c r="W122" s="27" t="str">
        <f t="shared" si="30"/>
        <v>Distrito Capital de Bogotá</v>
      </c>
      <c r="X122" s="104" t="s">
        <v>221</v>
      </c>
      <c r="Y122" s="91">
        <v>2427401</v>
      </c>
      <c r="Z122" s="85" t="s">
        <v>222</v>
      </c>
    </row>
    <row r="123" spans="1:26" s="5" customFormat="1" ht="12.75" hidden="1" customHeight="1" x14ac:dyDescent="0.25">
      <c r="A123" s="90" t="s">
        <v>217</v>
      </c>
      <c r="B123" s="91">
        <v>18</v>
      </c>
      <c r="C123" s="92" t="s">
        <v>245</v>
      </c>
      <c r="D123" s="92" t="s">
        <v>246</v>
      </c>
      <c r="E123" s="93"/>
      <c r="F123" s="93">
        <v>7011100000</v>
      </c>
      <c r="G123" s="93"/>
      <c r="H123" s="94" t="s">
        <v>219</v>
      </c>
      <c r="I123" s="76" t="s">
        <v>247</v>
      </c>
      <c r="J123" s="144">
        <v>10</v>
      </c>
      <c r="K123" s="144">
        <v>10</v>
      </c>
      <c r="L123" s="144">
        <v>2</v>
      </c>
      <c r="M123" s="91">
        <f t="shared" si="26"/>
        <v>1</v>
      </c>
      <c r="N123" s="98" t="s">
        <v>64</v>
      </c>
      <c r="O123" s="99" t="s">
        <v>65</v>
      </c>
      <c r="P123" s="100">
        <f t="shared" si="27"/>
        <v>1</v>
      </c>
      <c r="Q123" s="101">
        <f t="shared" si="31"/>
        <v>7011100000</v>
      </c>
      <c r="R123" s="101">
        <f t="shared" si="32"/>
        <v>7011100000</v>
      </c>
      <c r="S123" s="102" t="s">
        <v>56</v>
      </c>
      <c r="T123" s="98">
        <f t="shared" si="28"/>
        <v>0</v>
      </c>
      <c r="U123" s="27" t="str">
        <f t="shared" si="33"/>
        <v>SUBDIRECCION DE GESTION CONTRACTUAL</v>
      </c>
      <c r="V123" s="91" t="str">
        <f t="shared" si="29"/>
        <v>CO-DC</v>
      </c>
      <c r="W123" s="27" t="str">
        <f t="shared" si="30"/>
        <v>Distrito Capital de Bogotá</v>
      </c>
      <c r="X123" s="104" t="s">
        <v>221</v>
      </c>
      <c r="Y123" s="91">
        <v>2427401</v>
      </c>
      <c r="Z123" s="85" t="s">
        <v>222</v>
      </c>
    </row>
    <row r="124" spans="1:26" s="5" customFormat="1" ht="12.75" hidden="1" customHeight="1" x14ac:dyDescent="0.25">
      <c r="A124" s="90" t="s">
        <v>217</v>
      </c>
      <c r="B124" s="91">
        <v>19</v>
      </c>
      <c r="C124" s="92" t="s">
        <v>223</v>
      </c>
      <c r="D124" s="92" t="s">
        <v>248</v>
      </c>
      <c r="E124" s="93"/>
      <c r="F124" s="93">
        <f>7950000000-2000000000-2500000000+1450000000-2000000000</f>
        <v>2900000000</v>
      </c>
      <c r="G124" s="93"/>
      <c r="H124" s="94" t="s">
        <v>219</v>
      </c>
      <c r="I124" s="143" t="s">
        <v>225</v>
      </c>
      <c r="J124" s="144">
        <v>12</v>
      </c>
      <c r="K124" s="144">
        <v>12</v>
      </c>
      <c r="L124" s="144">
        <v>9</v>
      </c>
      <c r="M124" s="91">
        <f t="shared" si="26"/>
        <v>1</v>
      </c>
      <c r="N124" s="98" t="s">
        <v>64</v>
      </c>
      <c r="O124" s="99" t="s">
        <v>65</v>
      </c>
      <c r="P124" s="100">
        <f t="shared" si="27"/>
        <v>1</v>
      </c>
      <c r="Q124" s="101">
        <f t="shared" si="31"/>
        <v>2900000000</v>
      </c>
      <c r="R124" s="101">
        <f t="shared" si="32"/>
        <v>2900000000</v>
      </c>
      <c r="S124" s="102" t="s">
        <v>56</v>
      </c>
      <c r="T124" s="98">
        <f t="shared" si="28"/>
        <v>0</v>
      </c>
      <c r="U124" s="27" t="str">
        <f t="shared" si="33"/>
        <v>SUBDIRECCION DE GESTION CONTRACTUAL</v>
      </c>
      <c r="V124" s="91" t="str">
        <f t="shared" si="29"/>
        <v>CO-DC</v>
      </c>
      <c r="W124" s="27" t="str">
        <f t="shared" si="30"/>
        <v>Distrito Capital de Bogotá</v>
      </c>
      <c r="X124" s="104" t="s">
        <v>221</v>
      </c>
      <c r="Y124" s="91">
        <v>2427401</v>
      </c>
      <c r="Z124" s="85" t="s">
        <v>222</v>
      </c>
    </row>
    <row r="125" spans="1:26" s="5" customFormat="1" ht="12.75" hidden="1" customHeight="1" x14ac:dyDescent="0.25">
      <c r="A125" s="90" t="s">
        <v>217</v>
      </c>
      <c r="B125" s="91">
        <v>20</v>
      </c>
      <c r="C125" s="92" t="s">
        <v>226</v>
      </c>
      <c r="D125" s="92" t="s">
        <v>248</v>
      </c>
      <c r="E125" s="93"/>
      <c r="F125" s="93">
        <f>4750000000-4650000000+2500000000-1450000000</f>
        <v>1150000000</v>
      </c>
      <c r="G125" s="93"/>
      <c r="H125" s="94" t="s">
        <v>219</v>
      </c>
      <c r="I125" s="143" t="s">
        <v>225</v>
      </c>
      <c r="J125" s="144">
        <v>12</v>
      </c>
      <c r="K125" s="144">
        <v>12</v>
      </c>
      <c r="L125" s="144">
        <v>9</v>
      </c>
      <c r="M125" s="91">
        <f t="shared" si="26"/>
        <v>1</v>
      </c>
      <c r="N125" s="98" t="s">
        <v>64</v>
      </c>
      <c r="O125" s="99" t="s">
        <v>65</v>
      </c>
      <c r="P125" s="100">
        <f t="shared" si="27"/>
        <v>1</v>
      </c>
      <c r="Q125" s="101">
        <f t="shared" si="31"/>
        <v>1150000000</v>
      </c>
      <c r="R125" s="101">
        <f t="shared" si="32"/>
        <v>1150000000</v>
      </c>
      <c r="S125" s="102" t="s">
        <v>56</v>
      </c>
      <c r="T125" s="98">
        <f t="shared" si="28"/>
        <v>0</v>
      </c>
      <c r="U125" s="27" t="str">
        <f t="shared" si="33"/>
        <v>SUBDIRECCION DE GESTION CONTRACTUAL</v>
      </c>
      <c r="V125" s="91" t="str">
        <f t="shared" si="29"/>
        <v>CO-DC</v>
      </c>
      <c r="W125" s="27" t="str">
        <f t="shared" si="30"/>
        <v>Distrito Capital de Bogotá</v>
      </c>
      <c r="X125" s="104" t="s">
        <v>221</v>
      </c>
      <c r="Y125" s="91">
        <v>2427401</v>
      </c>
      <c r="Z125" s="85" t="s">
        <v>222</v>
      </c>
    </row>
    <row r="126" spans="1:26" s="5" customFormat="1" ht="12.75" hidden="1" customHeight="1" x14ac:dyDescent="0.25">
      <c r="A126" s="90" t="s">
        <v>217</v>
      </c>
      <c r="B126" s="91">
        <v>21</v>
      </c>
      <c r="C126" s="92" t="s">
        <v>228</v>
      </c>
      <c r="D126" s="92" t="s">
        <v>249</v>
      </c>
      <c r="E126" s="93"/>
      <c r="F126" s="93">
        <v>800000000</v>
      </c>
      <c r="G126" s="93"/>
      <c r="H126" s="94" t="s">
        <v>67</v>
      </c>
      <c r="I126" s="76" t="s">
        <v>229</v>
      </c>
      <c r="J126" s="95">
        <v>2</v>
      </c>
      <c r="K126" s="96">
        <v>3</v>
      </c>
      <c r="L126" s="97">
        <v>9</v>
      </c>
      <c r="M126" s="91">
        <f t="shared" si="26"/>
        <v>1</v>
      </c>
      <c r="N126" s="98" t="s">
        <v>69</v>
      </c>
      <c r="O126" s="99" t="s">
        <v>70</v>
      </c>
      <c r="P126" s="100">
        <f t="shared" si="27"/>
        <v>1</v>
      </c>
      <c r="Q126" s="101">
        <f t="shared" si="31"/>
        <v>800000000</v>
      </c>
      <c r="R126" s="101">
        <f t="shared" si="32"/>
        <v>800000000</v>
      </c>
      <c r="S126" s="102" t="s">
        <v>56</v>
      </c>
      <c r="T126" s="98">
        <f t="shared" si="28"/>
        <v>0</v>
      </c>
      <c r="U126" s="27" t="str">
        <f t="shared" si="33"/>
        <v>SUBDIRECCION DE GESTION CONTRACTUAL</v>
      </c>
      <c r="V126" s="91" t="str">
        <f t="shared" si="29"/>
        <v>CO-DC</v>
      </c>
      <c r="W126" s="27" t="str">
        <f t="shared" si="30"/>
        <v>Distrito Capital de Bogotá</v>
      </c>
      <c r="X126" s="104" t="s">
        <v>221</v>
      </c>
      <c r="Y126" s="91">
        <v>2427401</v>
      </c>
      <c r="Z126" s="85" t="s">
        <v>222</v>
      </c>
    </row>
    <row r="127" spans="1:26" s="5" customFormat="1" ht="12.75" hidden="1" customHeight="1" x14ac:dyDescent="0.25">
      <c r="A127" s="90" t="s">
        <v>217</v>
      </c>
      <c r="B127" s="91">
        <v>22</v>
      </c>
      <c r="C127" s="92" t="s">
        <v>250</v>
      </c>
      <c r="D127" s="92" t="s">
        <v>248</v>
      </c>
      <c r="E127" s="93"/>
      <c r="F127" s="93">
        <f>25000000000-5000000000-3011100000</f>
        <v>16988900000</v>
      </c>
      <c r="G127" s="93"/>
      <c r="H127" s="94" t="s">
        <v>219</v>
      </c>
      <c r="I127" s="76" t="s">
        <v>251</v>
      </c>
      <c r="J127" s="144">
        <v>10</v>
      </c>
      <c r="K127" s="144">
        <v>10</v>
      </c>
      <c r="L127" s="144">
        <v>2</v>
      </c>
      <c r="M127" s="91">
        <f t="shared" si="26"/>
        <v>1</v>
      </c>
      <c r="N127" s="98" t="s">
        <v>64</v>
      </c>
      <c r="O127" s="99" t="s">
        <v>65</v>
      </c>
      <c r="P127" s="100">
        <f t="shared" si="27"/>
        <v>1</v>
      </c>
      <c r="Q127" s="101">
        <f t="shared" si="31"/>
        <v>16988900000</v>
      </c>
      <c r="R127" s="101">
        <f t="shared" si="32"/>
        <v>16988900000</v>
      </c>
      <c r="S127" s="102" t="s">
        <v>56</v>
      </c>
      <c r="T127" s="98">
        <f t="shared" si="28"/>
        <v>0</v>
      </c>
      <c r="U127" s="27" t="str">
        <f t="shared" si="33"/>
        <v>SUBDIRECCION DE GESTION CONTRACTUAL</v>
      </c>
      <c r="V127" s="91" t="str">
        <f t="shared" si="29"/>
        <v>CO-DC</v>
      </c>
      <c r="W127" s="27" t="str">
        <f t="shared" si="30"/>
        <v>Distrito Capital de Bogotá</v>
      </c>
      <c r="X127" s="104" t="s">
        <v>221</v>
      </c>
      <c r="Y127" s="91">
        <v>2427401</v>
      </c>
      <c r="Z127" s="85" t="s">
        <v>222</v>
      </c>
    </row>
    <row r="128" spans="1:26" s="5" customFormat="1" ht="12.75" hidden="1" customHeight="1" x14ac:dyDescent="0.25">
      <c r="A128" s="90" t="s">
        <v>217</v>
      </c>
      <c r="B128" s="91">
        <v>23</v>
      </c>
      <c r="C128" s="134" t="s">
        <v>252</v>
      </c>
      <c r="D128" s="92" t="s">
        <v>248</v>
      </c>
      <c r="E128" s="93"/>
      <c r="F128" s="93">
        <v>8000000000</v>
      </c>
      <c r="G128" s="93"/>
      <c r="H128" s="94" t="s">
        <v>67</v>
      </c>
      <c r="I128" s="76" t="s">
        <v>229</v>
      </c>
      <c r="J128" s="95">
        <v>2</v>
      </c>
      <c r="K128" s="96">
        <v>3</v>
      </c>
      <c r="L128" s="97">
        <v>9</v>
      </c>
      <c r="M128" s="91">
        <f t="shared" si="26"/>
        <v>1</v>
      </c>
      <c r="N128" s="98" t="s">
        <v>69</v>
      </c>
      <c r="O128" s="99" t="s">
        <v>70</v>
      </c>
      <c r="P128" s="100">
        <f t="shared" si="27"/>
        <v>1</v>
      </c>
      <c r="Q128" s="101">
        <f t="shared" si="31"/>
        <v>8000000000</v>
      </c>
      <c r="R128" s="101">
        <f t="shared" si="32"/>
        <v>8000000000</v>
      </c>
      <c r="S128" s="102" t="s">
        <v>56</v>
      </c>
      <c r="T128" s="98">
        <f t="shared" si="28"/>
        <v>0</v>
      </c>
      <c r="U128" s="27" t="str">
        <f t="shared" si="33"/>
        <v>SUBDIRECCION DE GESTION CONTRACTUAL</v>
      </c>
      <c r="V128" s="91" t="str">
        <f t="shared" si="29"/>
        <v>CO-DC</v>
      </c>
      <c r="W128" s="27" t="str">
        <f t="shared" si="30"/>
        <v>Distrito Capital de Bogotá</v>
      </c>
      <c r="X128" s="104" t="s">
        <v>221</v>
      </c>
      <c r="Y128" s="91">
        <v>2427401</v>
      </c>
      <c r="Z128" s="85" t="s">
        <v>222</v>
      </c>
    </row>
    <row r="129" spans="1:26" s="5" customFormat="1" ht="12.75" hidden="1" customHeight="1" x14ac:dyDescent="0.25">
      <c r="A129" s="90" t="s">
        <v>217</v>
      </c>
      <c r="B129" s="91">
        <v>24</v>
      </c>
      <c r="C129" s="92" t="s">
        <v>253</v>
      </c>
      <c r="D129" s="92" t="s">
        <v>254</v>
      </c>
      <c r="E129" s="93"/>
      <c r="F129" s="93">
        <f>40500000000-2000000000-1400000000+1400000000</f>
        <v>38500000000</v>
      </c>
      <c r="G129" s="93"/>
      <c r="H129" s="94" t="s">
        <v>219</v>
      </c>
      <c r="I129" s="143" t="s">
        <v>255</v>
      </c>
      <c r="J129" s="144">
        <v>10</v>
      </c>
      <c r="K129" s="144">
        <v>11</v>
      </c>
      <c r="L129" s="144">
        <v>2</v>
      </c>
      <c r="M129" s="91">
        <v>1</v>
      </c>
      <c r="N129" s="98" t="s">
        <v>64</v>
      </c>
      <c r="O129" s="99" t="s">
        <v>65</v>
      </c>
      <c r="P129" s="100">
        <f t="shared" si="27"/>
        <v>1</v>
      </c>
      <c r="Q129" s="101">
        <f t="shared" si="31"/>
        <v>38500000000</v>
      </c>
      <c r="R129" s="101">
        <f t="shared" si="32"/>
        <v>38500000000</v>
      </c>
      <c r="S129" s="102" t="s">
        <v>56</v>
      </c>
      <c r="T129" s="98">
        <f t="shared" si="28"/>
        <v>0</v>
      </c>
      <c r="U129" s="27" t="str">
        <f t="shared" si="33"/>
        <v>SUBDIRECCION DE GESTION CONTRACTUAL</v>
      </c>
      <c r="V129" s="91" t="str">
        <f t="shared" si="29"/>
        <v>CO-DC</v>
      </c>
      <c r="W129" s="27" t="str">
        <f t="shared" si="30"/>
        <v>Distrito Capital de Bogotá</v>
      </c>
      <c r="X129" s="104" t="s">
        <v>221</v>
      </c>
      <c r="Y129" s="91">
        <v>2427401</v>
      </c>
      <c r="Z129" s="85" t="s">
        <v>222</v>
      </c>
    </row>
    <row r="130" spans="1:26" s="5" customFormat="1" ht="12.75" hidden="1" customHeight="1" x14ac:dyDescent="0.25">
      <c r="A130" s="90" t="s">
        <v>217</v>
      </c>
      <c r="B130" s="91">
        <v>25</v>
      </c>
      <c r="C130" s="92" t="s">
        <v>256</v>
      </c>
      <c r="D130" s="92" t="s">
        <v>257</v>
      </c>
      <c r="E130" s="93"/>
      <c r="F130" s="93">
        <f>20000000000+20000000000</f>
        <v>40000000000</v>
      </c>
      <c r="G130" s="93"/>
      <c r="H130" s="94" t="s">
        <v>219</v>
      </c>
      <c r="I130" s="134" t="s">
        <v>258</v>
      </c>
      <c r="J130" s="144">
        <v>10</v>
      </c>
      <c r="K130" s="144">
        <v>10</v>
      </c>
      <c r="L130" s="144">
        <v>9</v>
      </c>
      <c r="M130" s="91">
        <f t="shared" ref="M130:M138" si="34">IF(ISBLANK(J130),"",1)</f>
        <v>1</v>
      </c>
      <c r="N130" s="98" t="s">
        <v>64</v>
      </c>
      <c r="O130" s="99" t="s">
        <v>65</v>
      </c>
      <c r="P130" s="100">
        <f t="shared" si="27"/>
        <v>1</v>
      </c>
      <c r="Q130" s="101">
        <f t="shared" si="31"/>
        <v>40000000000</v>
      </c>
      <c r="R130" s="101">
        <f t="shared" si="32"/>
        <v>40000000000</v>
      </c>
      <c r="S130" s="102" t="s">
        <v>56</v>
      </c>
      <c r="T130" s="98">
        <f t="shared" si="28"/>
        <v>0</v>
      </c>
      <c r="U130" s="27" t="str">
        <f t="shared" si="33"/>
        <v>SUBDIRECCION DE GESTION CONTRACTUAL</v>
      </c>
      <c r="V130" s="91" t="str">
        <f t="shared" si="29"/>
        <v>CO-DC</v>
      </c>
      <c r="W130" s="27" t="str">
        <f t="shared" si="30"/>
        <v>Distrito Capital de Bogotá</v>
      </c>
      <c r="X130" s="104" t="s">
        <v>221</v>
      </c>
      <c r="Y130" s="91">
        <v>2427401</v>
      </c>
      <c r="Z130" s="85" t="s">
        <v>222</v>
      </c>
    </row>
    <row r="131" spans="1:26" s="5" customFormat="1" ht="12.75" hidden="1" customHeight="1" x14ac:dyDescent="0.25">
      <c r="A131" s="90" t="s">
        <v>217</v>
      </c>
      <c r="B131" s="91">
        <v>26</v>
      </c>
      <c r="C131" s="134" t="s">
        <v>259</v>
      </c>
      <c r="D131" s="92" t="s">
        <v>224</v>
      </c>
      <c r="E131" s="93"/>
      <c r="F131" s="93">
        <f>7796660558-1500000000-1790202897-1600000000-63157661-2805470637</f>
        <v>37829363</v>
      </c>
      <c r="G131" s="93"/>
      <c r="H131" s="104" t="s">
        <v>260</v>
      </c>
      <c r="I131" s="134" t="s">
        <v>261</v>
      </c>
      <c r="J131" s="104">
        <v>2</v>
      </c>
      <c r="K131" s="104">
        <v>3</v>
      </c>
      <c r="L131" s="104">
        <v>9</v>
      </c>
      <c r="M131" s="91">
        <f t="shared" si="34"/>
        <v>1</v>
      </c>
      <c r="N131" s="98" t="s">
        <v>69</v>
      </c>
      <c r="O131" s="99" t="s">
        <v>70</v>
      </c>
      <c r="P131" s="100">
        <f t="shared" si="27"/>
        <v>1</v>
      </c>
      <c r="Q131" s="101">
        <f t="shared" si="31"/>
        <v>37829363</v>
      </c>
      <c r="R131" s="101">
        <f t="shared" si="32"/>
        <v>37829363</v>
      </c>
      <c r="S131" s="102" t="s">
        <v>56</v>
      </c>
      <c r="T131" s="98">
        <f t="shared" si="28"/>
        <v>0</v>
      </c>
      <c r="U131" s="27" t="str">
        <f t="shared" si="33"/>
        <v>SUBDIRECCION DE GESTION CONTRACTUAL</v>
      </c>
      <c r="V131" s="91" t="str">
        <f t="shared" si="29"/>
        <v>CO-DC</v>
      </c>
      <c r="W131" s="27" t="str">
        <f t="shared" si="30"/>
        <v>Distrito Capital de Bogotá</v>
      </c>
      <c r="X131" s="104" t="s">
        <v>221</v>
      </c>
      <c r="Y131" s="91">
        <v>2427401</v>
      </c>
      <c r="Z131" s="85" t="s">
        <v>222</v>
      </c>
    </row>
    <row r="132" spans="1:26" s="5" customFormat="1" ht="12.75" hidden="1" customHeight="1" x14ac:dyDescent="0.25">
      <c r="A132" s="90" t="s">
        <v>217</v>
      </c>
      <c r="B132" s="91">
        <v>27</v>
      </c>
      <c r="C132" s="92" t="s">
        <v>253</v>
      </c>
      <c r="D132" s="92" t="s">
        <v>254</v>
      </c>
      <c r="E132" s="93"/>
      <c r="F132" s="93">
        <v>2000000000</v>
      </c>
      <c r="G132" s="93"/>
      <c r="H132" s="94" t="s">
        <v>219</v>
      </c>
      <c r="I132" s="76" t="s">
        <v>262</v>
      </c>
      <c r="J132" s="95">
        <v>5</v>
      </c>
      <c r="K132" s="97">
        <v>6</v>
      </c>
      <c r="L132" s="97">
        <v>6</v>
      </c>
      <c r="M132" s="91">
        <f t="shared" si="34"/>
        <v>1</v>
      </c>
      <c r="N132" s="98" t="s">
        <v>64</v>
      </c>
      <c r="O132" s="99" t="s">
        <v>65</v>
      </c>
      <c r="P132" s="100">
        <f t="shared" si="27"/>
        <v>1</v>
      </c>
      <c r="Q132" s="101">
        <f t="shared" ref="Q132:Q138" si="35">IF(VALUE(E132+F132+G132)=0,"",E132+F132+G132)</f>
        <v>2000000000</v>
      </c>
      <c r="R132" s="101">
        <f t="shared" ref="R132:R138" si="36">IF(VALUE(F132)=0,"",F132)</f>
        <v>2000000000</v>
      </c>
      <c r="S132" s="102" t="s">
        <v>56</v>
      </c>
      <c r="T132" s="98">
        <f t="shared" si="28"/>
        <v>0</v>
      </c>
      <c r="U132" s="27" t="str">
        <f t="shared" si="33"/>
        <v>SUBDIRECCION DE GESTION CONTRACTUAL</v>
      </c>
      <c r="V132" s="91" t="str">
        <f t="shared" si="29"/>
        <v>CO-DC</v>
      </c>
      <c r="W132" s="27" t="str">
        <f t="shared" si="30"/>
        <v>Distrito Capital de Bogotá</v>
      </c>
      <c r="X132" s="104" t="s">
        <v>221</v>
      </c>
      <c r="Y132" s="91">
        <v>2427401</v>
      </c>
      <c r="Z132" s="85" t="s">
        <v>222</v>
      </c>
    </row>
    <row r="133" spans="1:26" s="5" customFormat="1" ht="12.75" hidden="1" customHeight="1" x14ac:dyDescent="0.25">
      <c r="A133" s="90" t="s">
        <v>217</v>
      </c>
      <c r="B133" s="91">
        <v>28</v>
      </c>
      <c r="C133" s="92" t="s">
        <v>223</v>
      </c>
      <c r="D133" s="92" t="s">
        <v>224</v>
      </c>
      <c r="E133" s="93"/>
      <c r="F133" s="93">
        <f>200000000+300000000</f>
        <v>500000000</v>
      </c>
      <c r="G133" s="93"/>
      <c r="H133" s="94" t="s">
        <v>219</v>
      </c>
      <c r="I133" s="76" t="s">
        <v>263</v>
      </c>
      <c r="J133" s="144">
        <v>8</v>
      </c>
      <c r="K133" s="144">
        <v>9</v>
      </c>
      <c r="L133" s="144">
        <v>4</v>
      </c>
      <c r="M133" s="91">
        <f t="shared" si="34"/>
        <v>1</v>
      </c>
      <c r="N133" s="98" t="s">
        <v>64</v>
      </c>
      <c r="O133" s="99" t="s">
        <v>65</v>
      </c>
      <c r="P133" s="100">
        <f t="shared" si="27"/>
        <v>1</v>
      </c>
      <c r="Q133" s="101">
        <f t="shared" si="35"/>
        <v>500000000</v>
      </c>
      <c r="R133" s="101">
        <f t="shared" si="36"/>
        <v>500000000</v>
      </c>
      <c r="S133" s="102" t="s">
        <v>56</v>
      </c>
      <c r="T133" s="98">
        <f t="shared" si="28"/>
        <v>0</v>
      </c>
      <c r="U133" s="27" t="str">
        <f t="shared" si="33"/>
        <v>SUBDIRECCION DE GESTION CONTRACTUAL</v>
      </c>
      <c r="V133" s="91" t="str">
        <f t="shared" si="29"/>
        <v>CO-DC</v>
      </c>
      <c r="W133" s="27" t="str">
        <f t="shared" si="30"/>
        <v>Distrito Capital de Bogotá</v>
      </c>
      <c r="X133" s="104" t="s">
        <v>221</v>
      </c>
      <c r="Y133" s="91">
        <v>2427401</v>
      </c>
      <c r="Z133" s="85" t="s">
        <v>222</v>
      </c>
    </row>
    <row r="134" spans="1:26" s="5" customFormat="1" ht="12.75" hidden="1" customHeight="1" x14ac:dyDescent="0.25">
      <c r="A134" s="90" t="s">
        <v>217</v>
      </c>
      <c r="B134" s="91">
        <v>29</v>
      </c>
      <c r="C134" s="92" t="s">
        <v>223</v>
      </c>
      <c r="D134" s="92" t="s">
        <v>224</v>
      </c>
      <c r="E134" s="93"/>
      <c r="F134" s="93">
        <v>2400000000</v>
      </c>
      <c r="G134" s="93"/>
      <c r="H134" s="94" t="s">
        <v>264</v>
      </c>
      <c r="I134" s="76" t="s">
        <v>265</v>
      </c>
      <c r="J134" s="95">
        <v>5</v>
      </c>
      <c r="K134" s="97">
        <v>6</v>
      </c>
      <c r="L134" s="97">
        <v>6</v>
      </c>
      <c r="M134" s="100">
        <f t="shared" si="34"/>
        <v>1</v>
      </c>
      <c r="N134" s="100" t="s">
        <v>64</v>
      </c>
      <c r="O134" s="146" t="s">
        <v>65</v>
      </c>
      <c r="P134" s="147">
        <f t="shared" si="27"/>
        <v>1</v>
      </c>
      <c r="Q134" s="101">
        <f t="shared" si="35"/>
        <v>2400000000</v>
      </c>
      <c r="R134" s="101">
        <f t="shared" si="36"/>
        <v>2400000000</v>
      </c>
      <c r="S134" s="91" t="s">
        <v>56</v>
      </c>
      <c r="T134" s="91">
        <f t="shared" si="28"/>
        <v>0</v>
      </c>
      <c r="U134" s="27" t="str">
        <f t="shared" si="33"/>
        <v>SUBDIRECCION DE GESTION CONTRACTUAL</v>
      </c>
      <c r="V134" s="91" t="str">
        <f t="shared" si="29"/>
        <v>CO-DC</v>
      </c>
      <c r="W134" s="91" t="str">
        <f t="shared" si="30"/>
        <v>Distrito Capital de Bogotá</v>
      </c>
      <c r="X134" s="104" t="s">
        <v>221</v>
      </c>
      <c r="Y134" s="91">
        <v>2427401</v>
      </c>
      <c r="Z134" s="85" t="s">
        <v>222</v>
      </c>
    </row>
    <row r="135" spans="1:26" s="5" customFormat="1" ht="12.75" hidden="1" customHeight="1" x14ac:dyDescent="0.25">
      <c r="A135" s="90" t="s">
        <v>217</v>
      </c>
      <c r="B135" s="91">
        <v>30</v>
      </c>
      <c r="C135" s="92" t="s">
        <v>223</v>
      </c>
      <c r="D135" s="92" t="s">
        <v>224</v>
      </c>
      <c r="E135" s="93"/>
      <c r="F135" s="93">
        <v>500000000</v>
      </c>
      <c r="G135" s="93"/>
      <c r="H135" s="94" t="s">
        <v>219</v>
      </c>
      <c r="I135" s="76" t="s">
        <v>266</v>
      </c>
      <c r="J135" s="144">
        <v>8</v>
      </c>
      <c r="K135" s="144">
        <v>9</v>
      </c>
      <c r="L135" s="144">
        <v>4</v>
      </c>
      <c r="M135" s="100">
        <f t="shared" si="34"/>
        <v>1</v>
      </c>
      <c r="N135" s="100" t="s">
        <v>64</v>
      </c>
      <c r="O135" s="146" t="s">
        <v>65</v>
      </c>
      <c r="P135" s="147">
        <f t="shared" si="27"/>
        <v>1</v>
      </c>
      <c r="Q135" s="101">
        <f t="shared" si="35"/>
        <v>500000000</v>
      </c>
      <c r="R135" s="101">
        <f t="shared" si="36"/>
        <v>500000000</v>
      </c>
      <c r="S135" s="91" t="s">
        <v>56</v>
      </c>
      <c r="T135" s="91">
        <f t="shared" si="28"/>
        <v>0</v>
      </c>
      <c r="U135" s="27" t="str">
        <f t="shared" si="33"/>
        <v>SUBDIRECCION DE GESTION CONTRACTUAL</v>
      </c>
      <c r="V135" s="91" t="str">
        <f t="shared" si="29"/>
        <v>CO-DC</v>
      </c>
      <c r="W135" s="91" t="str">
        <f t="shared" si="30"/>
        <v>Distrito Capital de Bogotá</v>
      </c>
      <c r="X135" s="104" t="s">
        <v>221</v>
      </c>
      <c r="Y135" s="91">
        <v>2427401</v>
      </c>
      <c r="Z135" s="85" t="s">
        <v>222</v>
      </c>
    </row>
    <row r="136" spans="1:26" s="5" customFormat="1" ht="12.75" hidden="1" customHeight="1" x14ac:dyDescent="0.25">
      <c r="A136" s="90" t="s">
        <v>217</v>
      </c>
      <c r="B136" s="91">
        <v>31</v>
      </c>
      <c r="C136" s="92" t="s">
        <v>231</v>
      </c>
      <c r="D136" s="92" t="s">
        <v>224</v>
      </c>
      <c r="E136" s="93"/>
      <c r="F136" s="93">
        <f>21469797103-1360000000</f>
        <v>20109797103</v>
      </c>
      <c r="G136" s="93"/>
      <c r="H136" s="104" t="s">
        <v>264</v>
      </c>
      <c r="I136" s="134" t="s">
        <v>265</v>
      </c>
      <c r="J136" s="95">
        <v>5</v>
      </c>
      <c r="K136" s="97">
        <v>6</v>
      </c>
      <c r="L136" s="97">
        <v>6</v>
      </c>
      <c r="M136" s="100">
        <f t="shared" si="34"/>
        <v>1</v>
      </c>
      <c r="N136" s="100" t="s">
        <v>64</v>
      </c>
      <c r="O136" s="146" t="s">
        <v>65</v>
      </c>
      <c r="P136" s="147">
        <f t="shared" si="27"/>
        <v>1</v>
      </c>
      <c r="Q136" s="101">
        <f t="shared" si="35"/>
        <v>20109797103</v>
      </c>
      <c r="R136" s="101">
        <f t="shared" si="36"/>
        <v>20109797103</v>
      </c>
      <c r="S136" s="91" t="s">
        <v>56</v>
      </c>
      <c r="T136" s="91">
        <f t="shared" si="28"/>
        <v>0</v>
      </c>
      <c r="U136" s="27" t="str">
        <f t="shared" si="33"/>
        <v>SUBDIRECCION DE GESTION CONTRACTUAL</v>
      </c>
      <c r="V136" s="91" t="str">
        <f t="shared" si="29"/>
        <v>CO-DC</v>
      </c>
      <c r="W136" s="91" t="str">
        <f t="shared" si="30"/>
        <v>Distrito Capital de Bogotá</v>
      </c>
      <c r="X136" s="104" t="s">
        <v>221</v>
      </c>
      <c r="Y136" s="91">
        <v>2427401</v>
      </c>
      <c r="Z136" s="85" t="s">
        <v>222</v>
      </c>
    </row>
    <row r="137" spans="1:26" s="5" customFormat="1" ht="12.75" hidden="1" customHeight="1" x14ac:dyDescent="0.25">
      <c r="A137" s="90" t="s">
        <v>217</v>
      </c>
      <c r="B137" s="91">
        <v>32</v>
      </c>
      <c r="C137" s="92" t="s">
        <v>226</v>
      </c>
      <c r="D137" s="92" t="s">
        <v>248</v>
      </c>
      <c r="E137" s="93"/>
      <c r="F137" s="93">
        <v>1900000000</v>
      </c>
      <c r="G137" s="93"/>
      <c r="H137" s="94" t="s">
        <v>219</v>
      </c>
      <c r="I137" s="76" t="s">
        <v>267</v>
      </c>
      <c r="J137" s="95">
        <v>5</v>
      </c>
      <c r="K137" s="97">
        <v>6</v>
      </c>
      <c r="L137" s="97">
        <v>6</v>
      </c>
      <c r="M137" s="91">
        <f t="shared" si="34"/>
        <v>1</v>
      </c>
      <c r="N137" s="98" t="s">
        <v>64</v>
      </c>
      <c r="O137" s="99" t="s">
        <v>65</v>
      </c>
      <c r="P137" s="100">
        <f t="shared" si="27"/>
        <v>1</v>
      </c>
      <c r="Q137" s="101">
        <f t="shared" si="35"/>
        <v>1900000000</v>
      </c>
      <c r="R137" s="101">
        <f t="shared" si="36"/>
        <v>1900000000</v>
      </c>
      <c r="S137" s="102" t="s">
        <v>56</v>
      </c>
      <c r="T137" s="98">
        <f t="shared" si="28"/>
        <v>0</v>
      </c>
      <c r="U137" s="27" t="str">
        <f t="shared" si="33"/>
        <v>SUBDIRECCION DE GESTION CONTRACTUAL</v>
      </c>
      <c r="V137" s="91" t="str">
        <f t="shared" si="29"/>
        <v>CO-DC</v>
      </c>
      <c r="W137" s="27" t="str">
        <f t="shared" si="30"/>
        <v>Distrito Capital de Bogotá</v>
      </c>
      <c r="X137" s="104" t="s">
        <v>221</v>
      </c>
      <c r="Y137" s="91">
        <v>2427401</v>
      </c>
      <c r="Z137" s="85" t="s">
        <v>222</v>
      </c>
    </row>
    <row r="138" spans="1:26" s="5" customFormat="1" ht="12.75" hidden="1" customHeight="1" x14ac:dyDescent="0.25">
      <c r="A138" s="90" t="s">
        <v>217</v>
      </c>
      <c r="B138" s="91">
        <v>33</v>
      </c>
      <c r="C138" s="92" t="s">
        <v>226</v>
      </c>
      <c r="D138" s="92" t="s">
        <v>248</v>
      </c>
      <c r="E138" s="93"/>
      <c r="F138" s="93">
        <v>250000000</v>
      </c>
      <c r="G138" s="93"/>
      <c r="H138" s="94" t="s">
        <v>219</v>
      </c>
      <c r="I138" s="76" t="s">
        <v>268</v>
      </c>
      <c r="J138" s="95">
        <v>5</v>
      </c>
      <c r="K138" s="97">
        <v>6</v>
      </c>
      <c r="L138" s="97">
        <v>6</v>
      </c>
      <c r="M138" s="91">
        <f t="shared" si="34"/>
        <v>1</v>
      </c>
      <c r="N138" s="98" t="s">
        <v>64</v>
      </c>
      <c r="O138" s="99" t="s">
        <v>65</v>
      </c>
      <c r="P138" s="100">
        <f t="shared" si="27"/>
        <v>1</v>
      </c>
      <c r="Q138" s="101">
        <f t="shared" si="35"/>
        <v>250000000</v>
      </c>
      <c r="R138" s="101">
        <f t="shared" si="36"/>
        <v>250000000</v>
      </c>
      <c r="S138" s="102" t="s">
        <v>56</v>
      </c>
      <c r="T138" s="98">
        <f t="shared" si="28"/>
        <v>0</v>
      </c>
      <c r="U138" s="27" t="str">
        <f t="shared" si="33"/>
        <v>SUBDIRECCION DE GESTION CONTRACTUAL</v>
      </c>
      <c r="V138" s="91" t="str">
        <f t="shared" si="29"/>
        <v>CO-DC</v>
      </c>
      <c r="W138" s="27" t="str">
        <f t="shared" si="30"/>
        <v>Distrito Capital de Bogotá</v>
      </c>
      <c r="X138" s="104" t="s">
        <v>221</v>
      </c>
      <c r="Y138" s="91">
        <v>2427401</v>
      </c>
      <c r="Z138" s="85" t="s">
        <v>222</v>
      </c>
    </row>
    <row r="139" spans="1:26" s="5" customFormat="1" ht="12.75" hidden="1" customHeight="1" x14ac:dyDescent="0.25">
      <c r="A139" s="90" t="s">
        <v>217</v>
      </c>
      <c r="B139" s="91">
        <v>34</v>
      </c>
      <c r="C139" s="92" t="s">
        <v>223</v>
      </c>
      <c r="D139" s="92" t="s">
        <v>248</v>
      </c>
      <c r="E139" s="93"/>
      <c r="F139" s="93">
        <v>2500000000</v>
      </c>
      <c r="G139" s="93"/>
      <c r="H139" s="94" t="s">
        <v>219</v>
      </c>
      <c r="I139" s="143" t="s">
        <v>225</v>
      </c>
      <c r="J139" s="144">
        <v>12</v>
      </c>
      <c r="K139" s="144">
        <v>12</v>
      </c>
      <c r="L139" s="144">
        <v>9</v>
      </c>
      <c r="M139" s="91">
        <f t="shared" ref="M139:M150" si="37">IF(ISBLANK(J139),"",1)</f>
        <v>1</v>
      </c>
      <c r="N139" s="98" t="s">
        <v>64</v>
      </c>
      <c r="O139" s="99" t="s">
        <v>65</v>
      </c>
      <c r="P139" s="100">
        <f t="shared" ref="P139:P156" si="38">IF(ISBLANK(N139),"",1)</f>
        <v>1</v>
      </c>
      <c r="Q139" s="101">
        <f t="shared" ref="Q139:Q172" si="39">IF(VALUE(E139+F139+G139)=0,"",E139+F139+G139)</f>
        <v>2500000000</v>
      </c>
      <c r="R139" s="101">
        <f t="shared" ref="R139:R172" si="40">IF(VALUE(F139)=0,"",F139)</f>
        <v>2500000000</v>
      </c>
      <c r="S139" s="102" t="s">
        <v>56</v>
      </c>
      <c r="T139" s="98">
        <f t="shared" ref="T139:T156" si="41">IF(ISBLANK(S139),"",IF(VALUE(S139)=0,0,IF(VALUE(S139)=1,3,"")))</f>
        <v>0</v>
      </c>
      <c r="U139" s="27" t="str">
        <f t="shared" ref="U139:U156" si="42">IF(ISBLANK(N139),"","SUBDIRECCION DE GESTION CONTRACTUAL")</f>
        <v>SUBDIRECCION DE GESTION CONTRACTUAL</v>
      </c>
      <c r="V139" s="91" t="str">
        <f t="shared" ref="V139:V156" si="43">IF(ISBLANK(N139),"","CO-DC")</f>
        <v>CO-DC</v>
      </c>
      <c r="W139" s="27" t="str">
        <f t="shared" ref="W139:W156" si="44">IF(ISBLANK(N139),"","Distrito Capital de Bogotá")</f>
        <v>Distrito Capital de Bogotá</v>
      </c>
      <c r="X139" s="104" t="s">
        <v>221</v>
      </c>
      <c r="Y139" s="91">
        <v>2427401</v>
      </c>
      <c r="Z139" s="85" t="s">
        <v>222</v>
      </c>
    </row>
    <row r="140" spans="1:26" s="5" customFormat="1" ht="12.75" hidden="1" customHeight="1" x14ac:dyDescent="0.25">
      <c r="A140" s="90" t="s">
        <v>217</v>
      </c>
      <c r="B140" s="91">
        <v>35</v>
      </c>
      <c r="C140" s="92" t="s">
        <v>223</v>
      </c>
      <c r="D140" s="92" t="s">
        <v>248</v>
      </c>
      <c r="E140" s="93"/>
      <c r="F140" s="93">
        <v>2000000000</v>
      </c>
      <c r="G140" s="93"/>
      <c r="H140" s="94" t="s">
        <v>219</v>
      </c>
      <c r="I140" s="76" t="s">
        <v>269</v>
      </c>
      <c r="J140" s="144">
        <v>8</v>
      </c>
      <c r="K140" s="144">
        <v>9</v>
      </c>
      <c r="L140" s="144">
        <v>3</v>
      </c>
      <c r="M140" s="91">
        <f t="shared" si="37"/>
        <v>1</v>
      </c>
      <c r="N140" s="98" t="s">
        <v>64</v>
      </c>
      <c r="O140" s="99" t="s">
        <v>65</v>
      </c>
      <c r="P140" s="100">
        <f t="shared" si="38"/>
        <v>1</v>
      </c>
      <c r="Q140" s="101">
        <f t="shared" si="39"/>
        <v>2000000000</v>
      </c>
      <c r="R140" s="101">
        <f t="shared" si="40"/>
        <v>2000000000</v>
      </c>
      <c r="S140" s="102" t="s">
        <v>56</v>
      </c>
      <c r="T140" s="98">
        <f t="shared" si="41"/>
        <v>0</v>
      </c>
      <c r="U140" s="27" t="str">
        <f t="shared" si="42"/>
        <v>SUBDIRECCION DE GESTION CONTRACTUAL</v>
      </c>
      <c r="V140" s="91" t="str">
        <f t="shared" si="43"/>
        <v>CO-DC</v>
      </c>
      <c r="W140" s="27" t="str">
        <f t="shared" si="44"/>
        <v>Distrito Capital de Bogotá</v>
      </c>
      <c r="X140" s="104" t="s">
        <v>221</v>
      </c>
      <c r="Y140" s="91">
        <v>2427401</v>
      </c>
      <c r="Z140" s="85" t="s">
        <v>222</v>
      </c>
    </row>
    <row r="141" spans="1:26" s="5" customFormat="1" ht="12.75" hidden="1" customHeight="1" x14ac:dyDescent="0.25">
      <c r="A141" s="90" t="s">
        <v>217</v>
      </c>
      <c r="B141" s="91">
        <v>36</v>
      </c>
      <c r="C141" s="92" t="s">
        <v>231</v>
      </c>
      <c r="D141" s="92" t="s">
        <v>224</v>
      </c>
      <c r="E141" s="93"/>
      <c r="F141" s="93">
        <v>1060000000</v>
      </c>
      <c r="G141" s="93"/>
      <c r="H141" s="94" t="s">
        <v>219</v>
      </c>
      <c r="I141" s="76" t="s">
        <v>270</v>
      </c>
      <c r="J141" s="144">
        <v>8</v>
      </c>
      <c r="K141" s="144">
        <v>9</v>
      </c>
      <c r="L141" s="144">
        <v>3</v>
      </c>
      <c r="M141" s="91">
        <f t="shared" si="37"/>
        <v>1</v>
      </c>
      <c r="N141" s="98" t="s">
        <v>64</v>
      </c>
      <c r="O141" s="99" t="s">
        <v>65</v>
      </c>
      <c r="P141" s="100">
        <f t="shared" si="38"/>
        <v>1</v>
      </c>
      <c r="Q141" s="101">
        <f t="shared" si="39"/>
        <v>1060000000</v>
      </c>
      <c r="R141" s="101">
        <f t="shared" si="40"/>
        <v>1060000000</v>
      </c>
      <c r="S141" s="102" t="s">
        <v>56</v>
      </c>
      <c r="T141" s="98">
        <f t="shared" si="41"/>
        <v>0</v>
      </c>
      <c r="U141" s="27" t="str">
        <f t="shared" si="42"/>
        <v>SUBDIRECCION DE GESTION CONTRACTUAL</v>
      </c>
      <c r="V141" s="91" t="str">
        <f t="shared" si="43"/>
        <v>CO-DC</v>
      </c>
      <c r="W141" s="27" t="str">
        <f t="shared" si="44"/>
        <v>Distrito Capital de Bogotá</v>
      </c>
      <c r="X141" s="104" t="s">
        <v>221</v>
      </c>
      <c r="Y141" s="91">
        <v>2427401</v>
      </c>
      <c r="Z141" s="85" t="s">
        <v>222</v>
      </c>
    </row>
    <row r="142" spans="1:26" s="5" customFormat="1" ht="12.75" hidden="1" customHeight="1" x14ac:dyDescent="0.25">
      <c r="A142" s="90" t="s">
        <v>217</v>
      </c>
      <c r="B142" s="91">
        <v>37</v>
      </c>
      <c r="C142" s="92" t="s">
        <v>218</v>
      </c>
      <c r="D142" s="92" t="s">
        <v>152</v>
      </c>
      <c r="E142" s="93"/>
      <c r="F142" s="93">
        <v>1000000000</v>
      </c>
      <c r="G142" s="93"/>
      <c r="H142" s="94" t="s">
        <v>219</v>
      </c>
      <c r="I142" s="76" t="s">
        <v>271</v>
      </c>
      <c r="J142" s="95">
        <v>5</v>
      </c>
      <c r="K142" s="97">
        <v>6</v>
      </c>
      <c r="L142" s="97">
        <v>6</v>
      </c>
      <c r="M142" s="91">
        <f t="shared" si="37"/>
        <v>1</v>
      </c>
      <c r="N142" s="98" t="s">
        <v>64</v>
      </c>
      <c r="O142" s="99" t="s">
        <v>65</v>
      </c>
      <c r="P142" s="100">
        <f t="shared" si="38"/>
        <v>1</v>
      </c>
      <c r="Q142" s="101">
        <f t="shared" si="39"/>
        <v>1000000000</v>
      </c>
      <c r="R142" s="101">
        <f t="shared" si="40"/>
        <v>1000000000</v>
      </c>
      <c r="S142" s="102" t="s">
        <v>56</v>
      </c>
      <c r="T142" s="98">
        <f t="shared" si="41"/>
        <v>0</v>
      </c>
      <c r="U142" s="27" t="str">
        <f t="shared" si="42"/>
        <v>SUBDIRECCION DE GESTION CONTRACTUAL</v>
      </c>
      <c r="V142" s="91" t="str">
        <f t="shared" si="43"/>
        <v>CO-DC</v>
      </c>
      <c r="W142" s="27" t="str">
        <f t="shared" si="44"/>
        <v>Distrito Capital de Bogotá</v>
      </c>
      <c r="X142" s="104" t="s">
        <v>221</v>
      </c>
      <c r="Y142" s="91">
        <v>2427401</v>
      </c>
      <c r="Z142" s="85" t="s">
        <v>222</v>
      </c>
    </row>
    <row r="143" spans="1:26" s="5" customFormat="1" ht="12.75" hidden="1" customHeight="1" x14ac:dyDescent="0.25">
      <c r="A143" s="90" t="s">
        <v>217</v>
      </c>
      <c r="B143" s="91">
        <v>38</v>
      </c>
      <c r="C143" s="92" t="s">
        <v>218</v>
      </c>
      <c r="D143" s="92" t="s">
        <v>152</v>
      </c>
      <c r="E143" s="93"/>
      <c r="F143" s="93">
        <v>800000000</v>
      </c>
      <c r="G143" s="93"/>
      <c r="H143" s="94" t="s">
        <v>264</v>
      </c>
      <c r="I143" s="76" t="s">
        <v>265</v>
      </c>
      <c r="J143" s="95">
        <v>5</v>
      </c>
      <c r="K143" s="97">
        <v>6</v>
      </c>
      <c r="L143" s="97">
        <v>6</v>
      </c>
      <c r="M143" s="91">
        <f t="shared" si="37"/>
        <v>1</v>
      </c>
      <c r="N143" s="98" t="s">
        <v>64</v>
      </c>
      <c r="O143" s="99" t="s">
        <v>65</v>
      </c>
      <c r="P143" s="100">
        <f t="shared" si="38"/>
        <v>1</v>
      </c>
      <c r="Q143" s="101">
        <f t="shared" si="39"/>
        <v>800000000</v>
      </c>
      <c r="R143" s="101">
        <f t="shared" si="40"/>
        <v>800000000</v>
      </c>
      <c r="S143" s="102" t="s">
        <v>56</v>
      </c>
      <c r="T143" s="98">
        <f t="shared" si="41"/>
        <v>0</v>
      </c>
      <c r="U143" s="27" t="str">
        <f t="shared" si="42"/>
        <v>SUBDIRECCION DE GESTION CONTRACTUAL</v>
      </c>
      <c r="V143" s="91" t="str">
        <f t="shared" si="43"/>
        <v>CO-DC</v>
      </c>
      <c r="W143" s="27" t="str">
        <f t="shared" si="44"/>
        <v>Distrito Capital de Bogotá</v>
      </c>
      <c r="X143" s="104" t="s">
        <v>221</v>
      </c>
      <c r="Y143" s="91">
        <v>2427401</v>
      </c>
      <c r="Z143" s="85" t="s">
        <v>222</v>
      </c>
    </row>
    <row r="144" spans="1:26" s="5" customFormat="1" ht="12.75" hidden="1" customHeight="1" x14ac:dyDescent="0.25">
      <c r="A144" s="90" t="s">
        <v>217</v>
      </c>
      <c r="B144" s="91">
        <v>39</v>
      </c>
      <c r="C144" s="92" t="s">
        <v>231</v>
      </c>
      <c r="D144" s="92" t="s">
        <v>224</v>
      </c>
      <c r="E144" s="93"/>
      <c r="F144" s="93">
        <f>1790202897+300000000</f>
        <v>2090202897</v>
      </c>
      <c r="G144" s="93"/>
      <c r="H144" s="94" t="s">
        <v>264</v>
      </c>
      <c r="I144" s="76" t="s">
        <v>265</v>
      </c>
      <c r="J144" s="95">
        <v>5</v>
      </c>
      <c r="K144" s="97">
        <v>6</v>
      </c>
      <c r="L144" s="97">
        <v>6</v>
      </c>
      <c r="M144" s="91">
        <f t="shared" si="37"/>
        <v>1</v>
      </c>
      <c r="N144" s="98" t="s">
        <v>64</v>
      </c>
      <c r="O144" s="99" t="s">
        <v>65</v>
      </c>
      <c r="P144" s="100">
        <f t="shared" si="38"/>
        <v>1</v>
      </c>
      <c r="Q144" s="101">
        <f t="shared" si="39"/>
        <v>2090202897</v>
      </c>
      <c r="R144" s="101">
        <f t="shared" si="40"/>
        <v>2090202897</v>
      </c>
      <c r="S144" s="102" t="s">
        <v>56</v>
      </c>
      <c r="T144" s="98">
        <f t="shared" si="41"/>
        <v>0</v>
      </c>
      <c r="U144" s="27" t="str">
        <f t="shared" si="42"/>
        <v>SUBDIRECCION DE GESTION CONTRACTUAL</v>
      </c>
      <c r="V144" s="91" t="str">
        <f t="shared" si="43"/>
        <v>CO-DC</v>
      </c>
      <c r="W144" s="27" t="str">
        <f t="shared" si="44"/>
        <v>Distrito Capital de Bogotá</v>
      </c>
      <c r="X144" s="104" t="s">
        <v>221</v>
      </c>
      <c r="Y144" s="91">
        <v>2427401</v>
      </c>
      <c r="Z144" s="85" t="s">
        <v>222</v>
      </c>
    </row>
    <row r="145" spans="1:26" s="5" customFormat="1" ht="12.75" hidden="1" customHeight="1" x14ac:dyDescent="0.25">
      <c r="A145" s="90" t="s">
        <v>217</v>
      </c>
      <c r="B145" s="91">
        <v>40</v>
      </c>
      <c r="C145" s="92" t="s">
        <v>250</v>
      </c>
      <c r="D145" s="92" t="s">
        <v>248</v>
      </c>
      <c r="E145" s="93"/>
      <c r="F145" s="93">
        <v>5000000000</v>
      </c>
      <c r="G145" s="93"/>
      <c r="H145" s="94" t="s">
        <v>264</v>
      </c>
      <c r="I145" s="76" t="s">
        <v>265</v>
      </c>
      <c r="J145" s="95">
        <v>5</v>
      </c>
      <c r="K145" s="97">
        <v>6</v>
      </c>
      <c r="L145" s="97">
        <v>6</v>
      </c>
      <c r="M145" s="91">
        <f t="shared" si="37"/>
        <v>1</v>
      </c>
      <c r="N145" s="98" t="s">
        <v>64</v>
      </c>
      <c r="O145" s="99" t="s">
        <v>65</v>
      </c>
      <c r="P145" s="100">
        <f t="shared" si="38"/>
        <v>1</v>
      </c>
      <c r="Q145" s="101">
        <f t="shared" si="39"/>
        <v>5000000000</v>
      </c>
      <c r="R145" s="101">
        <f t="shared" si="40"/>
        <v>5000000000</v>
      </c>
      <c r="S145" s="102" t="s">
        <v>56</v>
      </c>
      <c r="T145" s="98">
        <f t="shared" si="41"/>
        <v>0</v>
      </c>
      <c r="U145" s="27" t="str">
        <f t="shared" si="42"/>
        <v>SUBDIRECCION DE GESTION CONTRACTUAL</v>
      </c>
      <c r="V145" s="91" t="str">
        <f t="shared" si="43"/>
        <v>CO-DC</v>
      </c>
      <c r="W145" s="27" t="str">
        <f t="shared" si="44"/>
        <v>Distrito Capital de Bogotá</v>
      </c>
      <c r="X145" s="104" t="s">
        <v>221</v>
      </c>
      <c r="Y145" s="91">
        <v>2427401</v>
      </c>
      <c r="Z145" s="85" t="s">
        <v>222</v>
      </c>
    </row>
    <row r="146" spans="1:26" s="5" customFormat="1" ht="12.75" hidden="1" customHeight="1" x14ac:dyDescent="0.25">
      <c r="A146" s="90" t="s">
        <v>217</v>
      </c>
      <c r="B146" s="91">
        <v>41</v>
      </c>
      <c r="C146" s="92" t="s">
        <v>231</v>
      </c>
      <c r="D146" s="92" t="s">
        <v>224</v>
      </c>
      <c r="E146" s="93"/>
      <c r="F146" s="93">
        <v>500000000</v>
      </c>
      <c r="G146" s="93"/>
      <c r="H146" s="94" t="s">
        <v>219</v>
      </c>
      <c r="I146" s="76" t="s">
        <v>272</v>
      </c>
      <c r="J146" s="95">
        <v>5</v>
      </c>
      <c r="K146" s="97">
        <v>6</v>
      </c>
      <c r="L146" s="97">
        <v>6</v>
      </c>
      <c r="M146" s="91">
        <f t="shared" si="37"/>
        <v>1</v>
      </c>
      <c r="N146" s="98" t="s">
        <v>64</v>
      </c>
      <c r="O146" s="99" t="s">
        <v>65</v>
      </c>
      <c r="P146" s="100">
        <f t="shared" si="38"/>
        <v>1</v>
      </c>
      <c r="Q146" s="101">
        <f t="shared" si="39"/>
        <v>500000000</v>
      </c>
      <c r="R146" s="101">
        <f t="shared" si="40"/>
        <v>500000000</v>
      </c>
      <c r="S146" s="102" t="s">
        <v>56</v>
      </c>
      <c r="T146" s="98">
        <f t="shared" si="41"/>
        <v>0</v>
      </c>
      <c r="U146" s="27" t="str">
        <f t="shared" si="42"/>
        <v>SUBDIRECCION DE GESTION CONTRACTUAL</v>
      </c>
      <c r="V146" s="91" t="str">
        <f t="shared" si="43"/>
        <v>CO-DC</v>
      </c>
      <c r="W146" s="27" t="str">
        <f t="shared" si="44"/>
        <v>Distrito Capital de Bogotá</v>
      </c>
      <c r="X146" s="104" t="s">
        <v>221</v>
      </c>
      <c r="Y146" s="91">
        <v>2427401</v>
      </c>
      <c r="Z146" s="85" t="s">
        <v>222</v>
      </c>
    </row>
    <row r="147" spans="1:26" s="5" customFormat="1" ht="12.75" hidden="1" customHeight="1" x14ac:dyDescent="0.25">
      <c r="A147" s="90" t="s">
        <v>217</v>
      </c>
      <c r="B147" s="91">
        <v>42</v>
      </c>
      <c r="C147" s="92" t="s">
        <v>273</v>
      </c>
      <c r="D147" s="92" t="s">
        <v>274</v>
      </c>
      <c r="E147" s="93"/>
      <c r="F147" s="93">
        <v>216000000</v>
      </c>
      <c r="G147" s="93"/>
      <c r="H147" s="94">
        <v>80111600</v>
      </c>
      <c r="I147" s="76" t="s">
        <v>275</v>
      </c>
      <c r="J147" s="95">
        <v>5</v>
      </c>
      <c r="K147" s="97">
        <v>6</v>
      </c>
      <c r="L147" s="97">
        <v>6</v>
      </c>
      <c r="M147" s="91">
        <f t="shared" si="37"/>
        <v>1</v>
      </c>
      <c r="N147" s="98" t="s">
        <v>54</v>
      </c>
      <c r="O147" s="99" t="s">
        <v>55</v>
      </c>
      <c r="P147" s="100">
        <f t="shared" si="38"/>
        <v>1</v>
      </c>
      <c r="Q147" s="101">
        <f t="shared" si="39"/>
        <v>216000000</v>
      </c>
      <c r="R147" s="101">
        <f t="shared" si="40"/>
        <v>216000000</v>
      </c>
      <c r="S147" s="102" t="s">
        <v>56</v>
      </c>
      <c r="T147" s="98">
        <f t="shared" si="41"/>
        <v>0</v>
      </c>
      <c r="U147" s="27" t="str">
        <f t="shared" si="42"/>
        <v>SUBDIRECCION DE GESTION CONTRACTUAL</v>
      </c>
      <c r="V147" s="91" t="str">
        <f t="shared" si="43"/>
        <v>CO-DC</v>
      </c>
      <c r="W147" s="27" t="str">
        <f t="shared" si="44"/>
        <v>Distrito Capital de Bogotá</v>
      </c>
      <c r="X147" s="104" t="s">
        <v>221</v>
      </c>
      <c r="Y147" s="91">
        <v>2427401</v>
      </c>
      <c r="Z147" s="85" t="s">
        <v>222</v>
      </c>
    </row>
    <row r="148" spans="1:26" s="5" customFormat="1" ht="12.75" hidden="1" customHeight="1" x14ac:dyDescent="0.25">
      <c r="A148" s="90" t="s">
        <v>217</v>
      </c>
      <c r="B148" s="91">
        <v>43</v>
      </c>
      <c r="C148" s="92" t="s">
        <v>223</v>
      </c>
      <c r="D148" s="92" t="s">
        <v>224</v>
      </c>
      <c r="E148" s="93"/>
      <c r="F148" s="93">
        <v>1000000000</v>
      </c>
      <c r="G148" s="93"/>
      <c r="H148" s="94" t="s">
        <v>219</v>
      </c>
      <c r="I148" s="76" t="s">
        <v>276</v>
      </c>
      <c r="J148" s="144">
        <v>8</v>
      </c>
      <c r="K148" s="144">
        <v>9</v>
      </c>
      <c r="L148" s="144">
        <v>3</v>
      </c>
      <c r="M148" s="91">
        <f t="shared" si="37"/>
        <v>1</v>
      </c>
      <c r="N148" s="98" t="s">
        <v>64</v>
      </c>
      <c r="O148" s="99" t="s">
        <v>65</v>
      </c>
      <c r="P148" s="100">
        <f t="shared" si="38"/>
        <v>1</v>
      </c>
      <c r="Q148" s="101">
        <f t="shared" si="39"/>
        <v>1000000000</v>
      </c>
      <c r="R148" s="101">
        <f t="shared" si="40"/>
        <v>1000000000</v>
      </c>
      <c r="S148" s="102" t="s">
        <v>56</v>
      </c>
      <c r="T148" s="98">
        <f t="shared" si="41"/>
        <v>0</v>
      </c>
      <c r="U148" s="27" t="str">
        <f t="shared" si="42"/>
        <v>SUBDIRECCION DE GESTION CONTRACTUAL</v>
      </c>
      <c r="V148" s="91" t="str">
        <f t="shared" si="43"/>
        <v>CO-DC</v>
      </c>
      <c r="W148" s="27" t="str">
        <f t="shared" si="44"/>
        <v>Distrito Capital de Bogotá</v>
      </c>
      <c r="X148" s="104" t="s">
        <v>221</v>
      </c>
      <c r="Y148" s="91">
        <v>2427401</v>
      </c>
      <c r="Z148" s="85" t="s">
        <v>222</v>
      </c>
    </row>
    <row r="149" spans="1:26" s="5" customFormat="1" ht="33" hidden="1" customHeight="1" x14ac:dyDescent="0.25">
      <c r="A149" s="90" t="s">
        <v>217</v>
      </c>
      <c r="B149" s="91">
        <v>44</v>
      </c>
      <c r="C149" s="92" t="s">
        <v>231</v>
      </c>
      <c r="D149" s="92" t="s">
        <v>224</v>
      </c>
      <c r="E149" s="93"/>
      <c r="F149" s="93">
        <v>400000000</v>
      </c>
      <c r="G149" s="93"/>
      <c r="H149" s="94" t="s">
        <v>219</v>
      </c>
      <c r="I149" s="76" t="s">
        <v>277</v>
      </c>
      <c r="J149" s="144">
        <v>10</v>
      </c>
      <c r="K149" s="144">
        <v>10</v>
      </c>
      <c r="L149" s="144">
        <v>2</v>
      </c>
      <c r="M149" s="91">
        <f t="shared" si="37"/>
        <v>1</v>
      </c>
      <c r="N149" s="98" t="s">
        <v>64</v>
      </c>
      <c r="O149" s="99" t="s">
        <v>65</v>
      </c>
      <c r="P149" s="100">
        <f t="shared" si="38"/>
        <v>1</v>
      </c>
      <c r="Q149" s="101">
        <f t="shared" si="39"/>
        <v>400000000</v>
      </c>
      <c r="R149" s="101">
        <f t="shared" si="40"/>
        <v>400000000</v>
      </c>
      <c r="S149" s="102" t="s">
        <v>56</v>
      </c>
      <c r="T149" s="98">
        <f t="shared" si="41"/>
        <v>0</v>
      </c>
      <c r="U149" s="27" t="str">
        <f t="shared" si="42"/>
        <v>SUBDIRECCION DE GESTION CONTRACTUAL</v>
      </c>
      <c r="V149" s="91" t="str">
        <f t="shared" si="43"/>
        <v>CO-DC</v>
      </c>
      <c r="W149" s="27" t="str">
        <f t="shared" si="44"/>
        <v>Distrito Capital de Bogotá</v>
      </c>
      <c r="X149" s="104" t="s">
        <v>221</v>
      </c>
      <c r="Y149" s="91">
        <v>2427401</v>
      </c>
      <c r="Z149" s="85" t="s">
        <v>222</v>
      </c>
    </row>
    <row r="150" spans="1:26" s="5" customFormat="1" ht="36" hidden="1" customHeight="1" x14ac:dyDescent="0.25">
      <c r="A150" s="90" t="s">
        <v>217</v>
      </c>
      <c r="B150" s="91">
        <v>45</v>
      </c>
      <c r="C150" s="92" t="s">
        <v>231</v>
      </c>
      <c r="D150" s="92" t="s">
        <v>224</v>
      </c>
      <c r="E150" s="93"/>
      <c r="F150" s="93">
        <v>700000000</v>
      </c>
      <c r="G150" s="93"/>
      <c r="H150" s="94" t="s">
        <v>219</v>
      </c>
      <c r="I150" s="143" t="s">
        <v>225</v>
      </c>
      <c r="J150" s="144">
        <v>12</v>
      </c>
      <c r="K150" s="144">
        <v>12</v>
      </c>
      <c r="L150" s="144">
        <v>9</v>
      </c>
      <c r="M150" s="91">
        <f t="shared" si="37"/>
        <v>1</v>
      </c>
      <c r="N150" s="98" t="s">
        <v>64</v>
      </c>
      <c r="O150" s="99" t="s">
        <v>65</v>
      </c>
      <c r="P150" s="100">
        <f t="shared" si="38"/>
        <v>1</v>
      </c>
      <c r="Q150" s="101">
        <f t="shared" si="39"/>
        <v>700000000</v>
      </c>
      <c r="R150" s="101">
        <f t="shared" si="40"/>
        <v>700000000</v>
      </c>
      <c r="S150" s="102" t="s">
        <v>56</v>
      </c>
      <c r="T150" s="98">
        <f t="shared" si="41"/>
        <v>0</v>
      </c>
      <c r="U150" s="27" t="str">
        <f t="shared" si="42"/>
        <v>SUBDIRECCION DE GESTION CONTRACTUAL</v>
      </c>
      <c r="V150" s="91" t="str">
        <f t="shared" si="43"/>
        <v>CO-DC</v>
      </c>
      <c r="W150" s="27" t="str">
        <f t="shared" si="44"/>
        <v>Distrito Capital de Bogotá</v>
      </c>
      <c r="X150" s="104" t="s">
        <v>221</v>
      </c>
      <c r="Y150" s="91">
        <v>2427401</v>
      </c>
      <c r="Z150" s="85" t="s">
        <v>222</v>
      </c>
    </row>
    <row r="151" spans="1:26" s="5" customFormat="1" ht="75" hidden="1" customHeight="1" x14ac:dyDescent="0.25">
      <c r="A151" s="148" t="s">
        <v>217</v>
      </c>
      <c r="B151" s="104">
        <v>46</v>
      </c>
      <c r="C151" s="134" t="s">
        <v>218</v>
      </c>
      <c r="D151" s="92" t="s">
        <v>152</v>
      </c>
      <c r="E151" s="149"/>
      <c r="F151" s="93">
        <v>400000000</v>
      </c>
      <c r="G151" s="93"/>
      <c r="H151" s="94" t="s">
        <v>219</v>
      </c>
      <c r="I151" s="150" t="s">
        <v>278</v>
      </c>
      <c r="J151" s="144">
        <v>9</v>
      </c>
      <c r="K151" s="144">
        <v>9</v>
      </c>
      <c r="L151" s="144">
        <v>3</v>
      </c>
      <c r="M151" s="151">
        <v>1</v>
      </c>
      <c r="N151" s="144" t="s">
        <v>64</v>
      </c>
      <c r="O151" s="99" t="s">
        <v>65</v>
      </c>
      <c r="P151" s="151">
        <f t="shared" si="38"/>
        <v>1</v>
      </c>
      <c r="Q151" s="101">
        <f t="shared" si="39"/>
        <v>400000000</v>
      </c>
      <c r="R151" s="101">
        <f t="shared" si="40"/>
        <v>400000000</v>
      </c>
      <c r="S151" s="144" t="s">
        <v>56</v>
      </c>
      <c r="T151" s="151">
        <f t="shared" si="41"/>
        <v>0</v>
      </c>
      <c r="U151" s="27" t="str">
        <f t="shared" si="42"/>
        <v>SUBDIRECCION DE GESTION CONTRACTUAL</v>
      </c>
      <c r="V151" s="151" t="str">
        <f t="shared" si="43"/>
        <v>CO-DC</v>
      </c>
      <c r="W151" s="151" t="str">
        <f t="shared" si="44"/>
        <v>Distrito Capital de Bogotá</v>
      </c>
      <c r="X151" s="104" t="s">
        <v>221</v>
      </c>
      <c r="Y151" s="91">
        <v>2427401</v>
      </c>
      <c r="Z151" s="85" t="s">
        <v>222</v>
      </c>
    </row>
    <row r="152" spans="1:26" s="5" customFormat="1" ht="114.75" hidden="1" customHeight="1" x14ac:dyDescent="0.25">
      <c r="A152" s="148" t="s">
        <v>217</v>
      </c>
      <c r="B152" s="104">
        <v>47</v>
      </c>
      <c r="C152" s="134" t="s">
        <v>223</v>
      </c>
      <c r="D152" s="92" t="s">
        <v>224</v>
      </c>
      <c r="E152" s="149"/>
      <c r="F152" s="93">
        <v>2000000000</v>
      </c>
      <c r="G152" s="93"/>
      <c r="H152" s="94" t="s">
        <v>219</v>
      </c>
      <c r="I152" s="143" t="s">
        <v>255</v>
      </c>
      <c r="J152" s="144">
        <v>10</v>
      </c>
      <c r="K152" s="144">
        <v>10</v>
      </c>
      <c r="L152" s="144">
        <v>2</v>
      </c>
      <c r="M152" s="151">
        <f>IF(ISBLANK(J152),"",1)</f>
        <v>1</v>
      </c>
      <c r="N152" s="144" t="s">
        <v>64</v>
      </c>
      <c r="O152" s="99" t="s">
        <v>65</v>
      </c>
      <c r="P152" s="151">
        <f t="shared" si="38"/>
        <v>1</v>
      </c>
      <c r="Q152" s="101">
        <f t="shared" si="39"/>
        <v>2000000000</v>
      </c>
      <c r="R152" s="101">
        <f t="shared" si="40"/>
        <v>2000000000</v>
      </c>
      <c r="S152" s="144" t="s">
        <v>56</v>
      </c>
      <c r="T152" s="151">
        <f t="shared" si="41"/>
        <v>0</v>
      </c>
      <c r="U152" s="27" t="str">
        <f t="shared" si="42"/>
        <v>SUBDIRECCION DE GESTION CONTRACTUAL</v>
      </c>
      <c r="V152" s="151" t="str">
        <f t="shared" si="43"/>
        <v>CO-DC</v>
      </c>
      <c r="W152" s="151" t="str">
        <f t="shared" si="44"/>
        <v>Distrito Capital de Bogotá</v>
      </c>
      <c r="X152" s="104" t="s">
        <v>221</v>
      </c>
      <c r="Y152" s="91">
        <v>2427401</v>
      </c>
      <c r="Z152" s="85" t="s">
        <v>222</v>
      </c>
    </row>
    <row r="153" spans="1:26" s="5" customFormat="1" ht="12.75" hidden="1" customHeight="1" x14ac:dyDescent="0.25">
      <c r="A153" s="148" t="s">
        <v>217</v>
      </c>
      <c r="B153" s="104">
        <v>48</v>
      </c>
      <c r="C153" s="134" t="s">
        <v>223</v>
      </c>
      <c r="D153" s="92" t="s">
        <v>279</v>
      </c>
      <c r="E153" s="149"/>
      <c r="F153" s="93">
        <v>1200000000</v>
      </c>
      <c r="G153" s="93"/>
      <c r="H153" s="94" t="s">
        <v>219</v>
      </c>
      <c r="I153" s="143" t="s">
        <v>225</v>
      </c>
      <c r="J153" s="144">
        <v>12</v>
      </c>
      <c r="K153" s="144">
        <v>12</v>
      </c>
      <c r="L153" s="144">
        <v>9</v>
      </c>
      <c r="M153" s="151">
        <f>IF(ISBLANK(J153),"",1)</f>
        <v>1</v>
      </c>
      <c r="N153" s="144" t="s">
        <v>64</v>
      </c>
      <c r="O153" s="99" t="s">
        <v>65</v>
      </c>
      <c r="P153" s="151">
        <f t="shared" si="38"/>
        <v>1</v>
      </c>
      <c r="Q153" s="101">
        <f t="shared" si="39"/>
        <v>1200000000</v>
      </c>
      <c r="R153" s="101">
        <f t="shared" si="40"/>
        <v>1200000000</v>
      </c>
      <c r="S153" s="144" t="s">
        <v>56</v>
      </c>
      <c r="T153" s="151">
        <f t="shared" si="41"/>
        <v>0</v>
      </c>
      <c r="U153" s="27" t="str">
        <f t="shared" si="42"/>
        <v>SUBDIRECCION DE GESTION CONTRACTUAL</v>
      </c>
      <c r="V153" s="151" t="str">
        <f t="shared" si="43"/>
        <v>CO-DC</v>
      </c>
      <c r="W153" s="151" t="str">
        <f t="shared" si="44"/>
        <v>Distrito Capital de Bogotá</v>
      </c>
      <c r="X153" s="104" t="s">
        <v>221</v>
      </c>
      <c r="Y153" s="91">
        <v>2427401</v>
      </c>
      <c r="Z153" s="85" t="s">
        <v>222</v>
      </c>
    </row>
    <row r="154" spans="1:26" s="5" customFormat="1" ht="12.75" hidden="1" customHeight="1" x14ac:dyDescent="0.25">
      <c r="A154" s="148" t="s">
        <v>217</v>
      </c>
      <c r="B154" s="104">
        <v>49</v>
      </c>
      <c r="C154" s="134" t="s">
        <v>218</v>
      </c>
      <c r="D154" s="92" t="s">
        <v>152</v>
      </c>
      <c r="E154" s="149"/>
      <c r="F154" s="93">
        <v>4800000000</v>
      </c>
      <c r="G154" s="93"/>
      <c r="H154" s="94" t="s">
        <v>219</v>
      </c>
      <c r="I154" s="143" t="s">
        <v>225</v>
      </c>
      <c r="J154" s="144">
        <v>12</v>
      </c>
      <c r="K154" s="144">
        <v>12</v>
      </c>
      <c r="L154" s="144">
        <v>9</v>
      </c>
      <c r="M154" s="151">
        <f>IF(ISBLANK(J154),"",1)</f>
        <v>1</v>
      </c>
      <c r="N154" s="144" t="s">
        <v>64</v>
      </c>
      <c r="O154" s="99" t="s">
        <v>65</v>
      </c>
      <c r="P154" s="151">
        <f t="shared" si="38"/>
        <v>1</v>
      </c>
      <c r="Q154" s="101">
        <f t="shared" si="39"/>
        <v>4800000000</v>
      </c>
      <c r="R154" s="101">
        <f t="shared" si="40"/>
        <v>4800000000</v>
      </c>
      <c r="S154" s="144" t="s">
        <v>56</v>
      </c>
      <c r="T154" s="151">
        <f t="shared" si="41"/>
        <v>0</v>
      </c>
      <c r="U154" s="27" t="str">
        <f t="shared" si="42"/>
        <v>SUBDIRECCION DE GESTION CONTRACTUAL</v>
      </c>
      <c r="V154" s="151" t="str">
        <f t="shared" si="43"/>
        <v>CO-DC</v>
      </c>
      <c r="W154" s="151" t="str">
        <f t="shared" si="44"/>
        <v>Distrito Capital de Bogotá</v>
      </c>
      <c r="X154" s="104" t="s">
        <v>221</v>
      </c>
      <c r="Y154" s="91">
        <v>2427401</v>
      </c>
      <c r="Z154" s="85" t="s">
        <v>222</v>
      </c>
    </row>
    <row r="155" spans="1:26" s="5" customFormat="1" ht="12.75" hidden="1" customHeight="1" x14ac:dyDescent="0.25">
      <c r="A155" s="148" t="s">
        <v>217</v>
      </c>
      <c r="B155" s="104">
        <v>50</v>
      </c>
      <c r="C155" s="134" t="s">
        <v>231</v>
      </c>
      <c r="D155" s="92" t="s">
        <v>279</v>
      </c>
      <c r="E155" s="149"/>
      <c r="F155" s="93">
        <f>2262170637+543300000-205470637-138900000</f>
        <v>2461100000</v>
      </c>
      <c r="G155" s="93"/>
      <c r="H155" s="94" t="s">
        <v>219</v>
      </c>
      <c r="I155" s="143" t="s">
        <v>225</v>
      </c>
      <c r="J155" s="144">
        <v>12</v>
      </c>
      <c r="K155" s="144">
        <v>12</v>
      </c>
      <c r="L155" s="144">
        <v>9</v>
      </c>
      <c r="M155" s="151">
        <f>IF(ISBLANK(J155),"",1)</f>
        <v>1</v>
      </c>
      <c r="N155" s="144" t="s">
        <v>64</v>
      </c>
      <c r="O155" s="99" t="s">
        <v>65</v>
      </c>
      <c r="P155" s="151">
        <f t="shared" si="38"/>
        <v>1</v>
      </c>
      <c r="Q155" s="101">
        <f t="shared" si="39"/>
        <v>2461100000</v>
      </c>
      <c r="R155" s="101">
        <f t="shared" si="40"/>
        <v>2461100000</v>
      </c>
      <c r="S155" s="144" t="s">
        <v>56</v>
      </c>
      <c r="T155" s="151">
        <f t="shared" si="41"/>
        <v>0</v>
      </c>
      <c r="U155" s="27" t="str">
        <f t="shared" si="42"/>
        <v>SUBDIRECCION DE GESTION CONTRACTUAL</v>
      </c>
      <c r="V155" s="151" t="str">
        <f t="shared" si="43"/>
        <v>CO-DC</v>
      </c>
      <c r="W155" s="151" t="str">
        <f t="shared" si="44"/>
        <v>Distrito Capital de Bogotá</v>
      </c>
      <c r="X155" s="104" t="s">
        <v>221</v>
      </c>
      <c r="Y155" s="91">
        <v>2427401</v>
      </c>
      <c r="Z155" s="85" t="s">
        <v>222</v>
      </c>
    </row>
    <row r="156" spans="1:26" s="5" customFormat="1" ht="54.75" hidden="1" customHeight="1" x14ac:dyDescent="0.25">
      <c r="A156" s="148" t="s">
        <v>217</v>
      </c>
      <c r="B156" s="104">
        <v>51</v>
      </c>
      <c r="C156" s="136" t="s">
        <v>238</v>
      </c>
      <c r="D156" s="92" t="s">
        <v>279</v>
      </c>
      <c r="E156" s="149"/>
      <c r="F156" s="93">
        <v>50000000</v>
      </c>
      <c r="G156" s="93"/>
      <c r="H156" s="94" t="s">
        <v>219</v>
      </c>
      <c r="I156" s="143" t="s">
        <v>225</v>
      </c>
      <c r="J156" s="144">
        <v>12</v>
      </c>
      <c r="K156" s="144">
        <v>12</v>
      </c>
      <c r="L156" s="144">
        <v>9</v>
      </c>
      <c r="M156" s="151">
        <f>IF(ISBLANK(J156),"",1)</f>
        <v>1</v>
      </c>
      <c r="N156" s="144" t="s">
        <v>64</v>
      </c>
      <c r="O156" s="99" t="s">
        <v>65</v>
      </c>
      <c r="P156" s="151">
        <f t="shared" si="38"/>
        <v>1</v>
      </c>
      <c r="Q156" s="101">
        <f t="shared" si="39"/>
        <v>50000000</v>
      </c>
      <c r="R156" s="101">
        <f t="shared" si="40"/>
        <v>50000000</v>
      </c>
      <c r="S156" s="144" t="s">
        <v>56</v>
      </c>
      <c r="T156" s="151">
        <f t="shared" si="41"/>
        <v>0</v>
      </c>
      <c r="U156" s="27" t="str">
        <f t="shared" si="42"/>
        <v>SUBDIRECCION DE GESTION CONTRACTUAL</v>
      </c>
      <c r="V156" s="151" t="str">
        <f t="shared" si="43"/>
        <v>CO-DC</v>
      </c>
      <c r="W156" s="151" t="str">
        <f t="shared" si="44"/>
        <v>Distrito Capital de Bogotá</v>
      </c>
      <c r="X156" s="104" t="s">
        <v>221</v>
      </c>
      <c r="Y156" s="91">
        <v>2427401</v>
      </c>
      <c r="Z156" s="85" t="s">
        <v>222</v>
      </c>
    </row>
    <row r="157" spans="1:26" s="5" customFormat="1" ht="115.5" hidden="1" customHeight="1" x14ac:dyDescent="0.25">
      <c r="A157" s="148" t="s">
        <v>217</v>
      </c>
      <c r="B157" s="104">
        <v>52</v>
      </c>
      <c r="C157" s="134" t="s">
        <v>223</v>
      </c>
      <c r="D157" s="92" t="s">
        <v>279</v>
      </c>
      <c r="E157" s="149"/>
      <c r="F157" s="93">
        <v>14437700000</v>
      </c>
      <c r="G157" s="149"/>
      <c r="H157" s="94" t="s">
        <v>219</v>
      </c>
      <c r="I157" s="150" t="s">
        <v>244</v>
      </c>
      <c r="J157" s="144">
        <v>9</v>
      </c>
      <c r="K157" s="144">
        <v>9</v>
      </c>
      <c r="L157" s="144">
        <v>3</v>
      </c>
      <c r="M157" s="151">
        <v>1</v>
      </c>
      <c r="N157" s="144" t="s">
        <v>64</v>
      </c>
      <c r="O157" s="99" t="s">
        <v>65</v>
      </c>
      <c r="P157" s="151">
        <v>1</v>
      </c>
      <c r="Q157" s="101">
        <f t="shared" si="39"/>
        <v>14437700000</v>
      </c>
      <c r="R157" s="101">
        <f t="shared" si="40"/>
        <v>14437700000</v>
      </c>
      <c r="S157" s="144" t="s">
        <v>56</v>
      </c>
      <c r="T157" s="151">
        <v>0</v>
      </c>
      <c r="U157" s="27" t="s">
        <v>280</v>
      </c>
      <c r="V157" s="151" t="s">
        <v>207</v>
      </c>
      <c r="W157" s="151" t="s">
        <v>208</v>
      </c>
      <c r="X157" s="104" t="s">
        <v>221</v>
      </c>
      <c r="Y157" s="91">
        <v>2427401</v>
      </c>
      <c r="Z157" s="85" t="s">
        <v>222</v>
      </c>
    </row>
    <row r="158" spans="1:26" s="5" customFormat="1" ht="12.75" hidden="1" customHeight="1" x14ac:dyDescent="0.25">
      <c r="A158" s="148" t="s">
        <v>217</v>
      </c>
      <c r="B158" s="104">
        <v>53</v>
      </c>
      <c r="C158" s="136" t="s">
        <v>223</v>
      </c>
      <c r="D158" s="92" t="s">
        <v>248</v>
      </c>
      <c r="E158" s="149"/>
      <c r="F158" s="93">
        <v>2000000000</v>
      </c>
      <c r="G158" s="149"/>
      <c r="H158" s="94" t="s">
        <v>219</v>
      </c>
      <c r="I158" s="150" t="s">
        <v>244</v>
      </c>
      <c r="J158" s="144">
        <v>9</v>
      </c>
      <c r="K158" s="144">
        <v>9</v>
      </c>
      <c r="L158" s="144">
        <v>3</v>
      </c>
      <c r="M158" s="151">
        <v>1</v>
      </c>
      <c r="N158" s="144" t="s">
        <v>64</v>
      </c>
      <c r="O158" s="99" t="s">
        <v>65</v>
      </c>
      <c r="P158" s="151">
        <v>1</v>
      </c>
      <c r="Q158" s="101">
        <f t="shared" si="39"/>
        <v>2000000000</v>
      </c>
      <c r="R158" s="101">
        <f t="shared" si="40"/>
        <v>2000000000</v>
      </c>
      <c r="S158" s="144" t="s">
        <v>56</v>
      </c>
      <c r="T158" s="151">
        <v>0</v>
      </c>
      <c r="U158" s="27" t="s">
        <v>280</v>
      </c>
      <c r="V158" s="151" t="s">
        <v>207</v>
      </c>
      <c r="W158" s="151" t="s">
        <v>208</v>
      </c>
      <c r="X158" s="104" t="s">
        <v>221</v>
      </c>
      <c r="Y158" s="91">
        <v>2427401</v>
      </c>
      <c r="Z158" s="85" t="s">
        <v>222</v>
      </c>
    </row>
    <row r="159" spans="1:26" s="5" customFormat="1" ht="12.75" hidden="1" customHeight="1" x14ac:dyDescent="0.25">
      <c r="A159" s="148" t="s">
        <v>217</v>
      </c>
      <c r="B159" s="104">
        <v>54</v>
      </c>
      <c r="C159" s="136" t="s">
        <v>223</v>
      </c>
      <c r="D159" s="92" t="s">
        <v>279</v>
      </c>
      <c r="E159" s="149"/>
      <c r="F159" s="93">
        <v>50000000</v>
      </c>
      <c r="G159" s="149"/>
      <c r="H159" s="94" t="s">
        <v>91</v>
      </c>
      <c r="I159" s="150" t="s">
        <v>281</v>
      </c>
      <c r="J159" s="144">
        <v>10</v>
      </c>
      <c r="K159" s="144">
        <v>10</v>
      </c>
      <c r="L159" s="144">
        <v>2</v>
      </c>
      <c r="M159" s="151">
        <v>1</v>
      </c>
      <c r="N159" s="144" t="s">
        <v>87</v>
      </c>
      <c r="O159" s="99" t="s">
        <v>216</v>
      </c>
      <c r="P159" s="151">
        <v>1</v>
      </c>
      <c r="Q159" s="101">
        <f t="shared" si="39"/>
        <v>50000000</v>
      </c>
      <c r="R159" s="101">
        <f t="shared" si="40"/>
        <v>50000000</v>
      </c>
      <c r="S159" s="144" t="s">
        <v>56</v>
      </c>
      <c r="T159" s="151">
        <v>0</v>
      </c>
      <c r="U159" s="27" t="s">
        <v>280</v>
      </c>
      <c r="V159" s="151" t="s">
        <v>207</v>
      </c>
      <c r="W159" s="151" t="s">
        <v>208</v>
      </c>
      <c r="X159" s="104" t="s">
        <v>221</v>
      </c>
      <c r="Y159" s="91">
        <v>2427401</v>
      </c>
      <c r="Z159" s="85" t="s">
        <v>222</v>
      </c>
    </row>
    <row r="160" spans="1:26" s="5" customFormat="1" ht="12.75" hidden="1" customHeight="1" x14ac:dyDescent="0.25">
      <c r="A160" s="148" t="s">
        <v>217</v>
      </c>
      <c r="B160" s="104">
        <v>55</v>
      </c>
      <c r="C160" s="136" t="s">
        <v>223</v>
      </c>
      <c r="D160" s="92" t="s">
        <v>279</v>
      </c>
      <c r="E160" s="149"/>
      <c r="F160" s="93">
        <v>2000000000</v>
      </c>
      <c r="G160" s="149"/>
      <c r="H160" s="94" t="s">
        <v>219</v>
      </c>
      <c r="I160" s="143" t="s">
        <v>225</v>
      </c>
      <c r="J160" s="144">
        <v>12</v>
      </c>
      <c r="K160" s="144">
        <v>12</v>
      </c>
      <c r="L160" s="144">
        <v>9</v>
      </c>
      <c r="M160" s="151">
        <f t="shared" ref="M160:M167" si="45">IF(ISBLANK(J160),"",1)</f>
        <v>1</v>
      </c>
      <c r="N160" s="144" t="s">
        <v>64</v>
      </c>
      <c r="O160" s="99" t="s">
        <v>65</v>
      </c>
      <c r="P160" s="151">
        <f t="shared" ref="P160:P167" si="46">IF(ISBLANK(N160),"",1)</f>
        <v>1</v>
      </c>
      <c r="Q160" s="101">
        <f t="shared" si="39"/>
        <v>2000000000</v>
      </c>
      <c r="R160" s="101">
        <f t="shared" si="40"/>
        <v>2000000000</v>
      </c>
      <c r="S160" s="144" t="s">
        <v>56</v>
      </c>
      <c r="T160" s="151">
        <f t="shared" ref="T160:T167" si="47">IF(ISBLANK(S160),"",IF(VALUE(S160)=0,0,IF(VALUE(S160)=1,3,"")))</f>
        <v>0</v>
      </c>
      <c r="U160" s="151" t="str">
        <f t="shared" ref="U160:U167" si="48">IF(ISBLANK(N160),"","SUBDIRECCION DE GESTION CONTRACTUAL")</f>
        <v>SUBDIRECCION DE GESTION CONTRACTUAL</v>
      </c>
      <c r="V160" s="151" t="str">
        <f t="shared" ref="V160:V167" si="49">IF(ISBLANK(N160),"","CO-DC")</f>
        <v>CO-DC</v>
      </c>
      <c r="W160" s="151" t="str">
        <f t="shared" ref="W160:W167" si="50">IF(ISBLANK(N160),"","Distrito Capital de Bogotá")</f>
        <v>Distrito Capital de Bogotá</v>
      </c>
      <c r="X160" s="104" t="s">
        <v>221</v>
      </c>
      <c r="Y160" s="91">
        <v>2427401</v>
      </c>
      <c r="Z160" s="85" t="s">
        <v>222</v>
      </c>
    </row>
    <row r="161" spans="1:26" s="5" customFormat="1" ht="12.75" hidden="1" customHeight="1" x14ac:dyDescent="0.25">
      <c r="A161" s="148" t="s">
        <v>217</v>
      </c>
      <c r="B161" s="104">
        <v>56</v>
      </c>
      <c r="C161" s="134" t="s">
        <v>218</v>
      </c>
      <c r="D161" s="92" t="s">
        <v>152</v>
      </c>
      <c r="E161" s="149"/>
      <c r="F161" s="93">
        <v>500000000</v>
      </c>
      <c r="G161" s="149"/>
      <c r="H161" s="94" t="s">
        <v>219</v>
      </c>
      <c r="I161" s="143" t="s">
        <v>225</v>
      </c>
      <c r="J161" s="144">
        <v>12</v>
      </c>
      <c r="K161" s="144">
        <v>12</v>
      </c>
      <c r="L161" s="144">
        <v>9</v>
      </c>
      <c r="M161" s="151">
        <f t="shared" si="45"/>
        <v>1</v>
      </c>
      <c r="N161" s="144" t="s">
        <v>64</v>
      </c>
      <c r="O161" s="99" t="s">
        <v>65</v>
      </c>
      <c r="P161" s="151">
        <f t="shared" si="46"/>
        <v>1</v>
      </c>
      <c r="Q161" s="101">
        <f t="shared" si="39"/>
        <v>500000000</v>
      </c>
      <c r="R161" s="101">
        <f t="shared" si="40"/>
        <v>500000000</v>
      </c>
      <c r="S161" s="144" t="s">
        <v>56</v>
      </c>
      <c r="T161" s="151">
        <f t="shared" si="47"/>
        <v>0</v>
      </c>
      <c r="U161" s="27" t="str">
        <f t="shared" si="48"/>
        <v>SUBDIRECCION DE GESTION CONTRACTUAL</v>
      </c>
      <c r="V161" s="151" t="str">
        <f t="shared" si="49"/>
        <v>CO-DC</v>
      </c>
      <c r="W161" s="151" t="str">
        <f t="shared" si="50"/>
        <v>Distrito Capital de Bogotá</v>
      </c>
      <c r="X161" s="104" t="s">
        <v>221</v>
      </c>
      <c r="Y161" s="91">
        <v>2427401</v>
      </c>
      <c r="Z161" s="85" t="s">
        <v>222</v>
      </c>
    </row>
    <row r="162" spans="1:26" s="5" customFormat="1" ht="50.25" hidden="1" customHeight="1" x14ac:dyDescent="0.25">
      <c r="A162" s="148" t="s">
        <v>217</v>
      </c>
      <c r="B162" s="104">
        <v>57</v>
      </c>
      <c r="C162" s="134" t="s">
        <v>218</v>
      </c>
      <c r="D162" s="92" t="s">
        <v>152</v>
      </c>
      <c r="E162" s="149"/>
      <c r="F162" s="93">
        <v>300000000</v>
      </c>
      <c r="G162" s="149"/>
      <c r="H162" s="94" t="s">
        <v>219</v>
      </c>
      <c r="I162" s="143" t="s">
        <v>225</v>
      </c>
      <c r="J162" s="144">
        <v>12</v>
      </c>
      <c r="K162" s="144">
        <v>12</v>
      </c>
      <c r="L162" s="144">
        <v>9</v>
      </c>
      <c r="M162" s="151">
        <f t="shared" si="45"/>
        <v>1</v>
      </c>
      <c r="N162" s="144" t="s">
        <v>64</v>
      </c>
      <c r="O162" s="99" t="s">
        <v>65</v>
      </c>
      <c r="P162" s="151">
        <f t="shared" si="46"/>
        <v>1</v>
      </c>
      <c r="Q162" s="101">
        <f t="shared" si="39"/>
        <v>300000000</v>
      </c>
      <c r="R162" s="101">
        <f t="shared" si="40"/>
        <v>300000000</v>
      </c>
      <c r="S162" s="144" t="s">
        <v>56</v>
      </c>
      <c r="T162" s="151">
        <f t="shared" si="47"/>
        <v>0</v>
      </c>
      <c r="U162" s="27" t="str">
        <f t="shared" si="48"/>
        <v>SUBDIRECCION DE GESTION CONTRACTUAL</v>
      </c>
      <c r="V162" s="151" t="str">
        <f t="shared" si="49"/>
        <v>CO-DC</v>
      </c>
      <c r="W162" s="151" t="str">
        <f t="shared" si="50"/>
        <v>Distrito Capital de Bogotá</v>
      </c>
      <c r="X162" s="104" t="s">
        <v>221</v>
      </c>
      <c r="Y162" s="91">
        <v>2427401</v>
      </c>
      <c r="Z162" s="85" t="s">
        <v>222</v>
      </c>
    </row>
    <row r="163" spans="1:26" s="5" customFormat="1" ht="12.75" hidden="1" customHeight="1" x14ac:dyDescent="0.25">
      <c r="A163" s="148" t="s">
        <v>217</v>
      </c>
      <c r="B163" s="104">
        <v>58</v>
      </c>
      <c r="C163" s="134" t="s">
        <v>218</v>
      </c>
      <c r="D163" s="92" t="s">
        <v>152</v>
      </c>
      <c r="E163" s="149"/>
      <c r="F163" s="93">
        <v>500000000</v>
      </c>
      <c r="G163" s="149"/>
      <c r="H163" s="94" t="s">
        <v>219</v>
      </c>
      <c r="I163" s="143" t="s">
        <v>225</v>
      </c>
      <c r="J163" s="144">
        <v>12</v>
      </c>
      <c r="K163" s="144">
        <v>12</v>
      </c>
      <c r="L163" s="144">
        <v>9</v>
      </c>
      <c r="M163" s="151">
        <f t="shared" si="45"/>
        <v>1</v>
      </c>
      <c r="N163" s="144" t="s">
        <v>64</v>
      </c>
      <c r="O163" s="99" t="s">
        <v>65</v>
      </c>
      <c r="P163" s="151">
        <f t="shared" si="46"/>
        <v>1</v>
      </c>
      <c r="Q163" s="101">
        <f t="shared" si="39"/>
        <v>500000000</v>
      </c>
      <c r="R163" s="101">
        <f t="shared" si="40"/>
        <v>500000000</v>
      </c>
      <c r="S163" s="144" t="s">
        <v>56</v>
      </c>
      <c r="T163" s="151">
        <f t="shared" si="47"/>
        <v>0</v>
      </c>
      <c r="U163" s="27" t="str">
        <f t="shared" si="48"/>
        <v>SUBDIRECCION DE GESTION CONTRACTUAL</v>
      </c>
      <c r="V163" s="151" t="str">
        <f t="shared" si="49"/>
        <v>CO-DC</v>
      </c>
      <c r="W163" s="151" t="str">
        <f t="shared" si="50"/>
        <v>Distrito Capital de Bogotá</v>
      </c>
      <c r="X163" s="104" t="s">
        <v>221</v>
      </c>
      <c r="Y163" s="91">
        <v>2427401</v>
      </c>
      <c r="Z163" s="85" t="s">
        <v>222</v>
      </c>
    </row>
    <row r="164" spans="1:26" s="5" customFormat="1" ht="12.75" hidden="1" customHeight="1" x14ac:dyDescent="0.25">
      <c r="A164" s="148" t="s">
        <v>217</v>
      </c>
      <c r="B164" s="104">
        <v>59</v>
      </c>
      <c r="C164" s="134" t="s">
        <v>218</v>
      </c>
      <c r="D164" s="92" t="s">
        <v>152</v>
      </c>
      <c r="E164" s="149"/>
      <c r="F164" s="93">
        <v>400000000</v>
      </c>
      <c r="G164" s="149"/>
      <c r="H164" s="94" t="s">
        <v>219</v>
      </c>
      <c r="I164" s="143" t="s">
        <v>225</v>
      </c>
      <c r="J164" s="144">
        <v>12</v>
      </c>
      <c r="K164" s="144">
        <v>12</v>
      </c>
      <c r="L164" s="144">
        <v>9</v>
      </c>
      <c r="M164" s="151">
        <f t="shared" si="45"/>
        <v>1</v>
      </c>
      <c r="N164" s="144" t="s">
        <v>64</v>
      </c>
      <c r="O164" s="99" t="s">
        <v>65</v>
      </c>
      <c r="P164" s="151">
        <f t="shared" si="46"/>
        <v>1</v>
      </c>
      <c r="Q164" s="101">
        <f t="shared" si="39"/>
        <v>400000000</v>
      </c>
      <c r="R164" s="101">
        <f t="shared" si="40"/>
        <v>400000000</v>
      </c>
      <c r="S164" s="144" t="s">
        <v>56</v>
      </c>
      <c r="T164" s="151">
        <f t="shared" si="47"/>
        <v>0</v>
      </c>
      <c r="U164" s="27" t="str">
        <f t="shared" si="48"/>
        <v>SUBDIRECCION DE GESTION CONTRACTUAL</v>
      </c>
      <c r="V164" s="151" t="str">
        <f t="shared" si="49"/>
        <v>CO-DC</v>
      </c>
      <c r="W164" s="151" t="str">
        <f t="shared" si="50"/>
        <v>Distrito Capital de Bogotá</v>
      </c>
      <c r="X164" s="104" t="s">
        <v>221</v>
      </c>
      <c r="Y164" s="91">
        <v>2427401</v>
      </c>
      <c r="Z164" s="85" t="s">
        <v>222</v>
      </c>
    </row>
    <row r="165" spans="1:26" s="5" customFormat="1" ht="12.75" hidden="1" customHeight="1" x14ac:dyDescent="0.25">
      <c r="A165" s="148" t="s">
        <v>217</v>
      </c>
      <c r="B165" s="104">
        <v>60</v>
      </c>
      <c r="C165" s="134" t="s">
        <v>218</v>
      </c>
      <c r="D165" s="92" t="s">
        <v>152</v>
      </c>
      <c r="E165" s="149"/>
      <c r="F165" s="93">
        <v>580000000</v>
      </c>
      <c r="G165" s="149"/>
      <c r="H165" s="94" t="s">
        <v>219</v>
      </c>
      <c r="I165" s="143" t="s">
        <v>225</v>
      </c>
      <c r="J165" s="144">
        <v>12</v>
      </c>
      <c r="K165" s="144">
        <v>12</v>
      </c>
      <c r="L165" s="144">
        <v>9</v>
      </c>
      <c r="M165" s="151">
        <f t="shared" si="45"/>
        <v>1</v>
      </c>
      <c r="N165" s="144" t="s">
        <v>64</v>
      </c>
      <c r="O165" s="99" t="s">
        <v>65</v>
      </c>
      <c r="P165" s="151">
        <f t="shared" si="46"/>
        <v>1</v>
      </c>
      <c r="Q165" s="101">
        <f t="shared" si="39"/>
        <v>580000000</v>
      </c>
      <c r="R165" s="101">
        <f t="shared" si="40"/>
        <v>580000000</v>
      </c>
      <c r="S165" s="144" t="s">
        <v>56</v>
      </c>
      <c r="T165" s="151">
        <f t="shared" si="47"/>
        <v>0</v>
      </c>
      <c r="U165" s="27" t="str">
        <f t="shared" si="48"/>
        <v>SUBDIRECCION DE GESTION CONTRACTUAL</v>
      </c>
      <c r="V165" s="151" t="str">
        <f t="shared" si="49"/>
        <v>CO-DC</v>
      </c>
      <c r="W165" s="151" t="str">
        <f t="shared" si="50"/>
        <v>Distrito Capital de Bogotá</v>
      </c>
      <c r="X165" s="104" t="s">
        <v>221</v>
      </c>
      <c r="Y165" s="91">
        <v>2427401</v>
      </c>
      <c r="Z165" s="85" t="s">
        <v>222</v>
      </c>
    </row>
    <row r="166" spans="1:26" s="5" customFormat="1" ht="12.75" hidden="1" customHeight="1" x14ac:dyDescent="0.25">
      <c r="A166" s="148" t="s">
        <v>217</v>
      </c>
      <c r="B166" s="104">
        <v>61</v>
      </c>
      <c r="C166" s="134" t="s">
        <v>223</v>
      </c>
      <c r="D166" s="92" t="s">
        <v>224</v>
      </c>
      <c r="E166" s="149"/>
      <c r="F166" s="93">
        <v>2500000000</v>
      </c>
      <c r="G166" s="149"/>
      <c r="H166" s="94" t="s">
        <v>219</v>
      </c>
      <c r="I166" s="143" t="s">
        <v>225</v>
      </c>
      <c r="J166" s="144">
        <v>12</v>
      </c>
      <c r="K166" s="144">
        <v>12</v>
      </c>
      <c r="L166" s="144">
        <v>9</v>
      </c>
      <c r="M166" s="151">
        <f t="shared" si="45"/>
        <v>1</v>
      </c>
      <c r="N166" s="144" t="s">
        <v>64</v>
      </c>
      <c r="O166" s="99" t="s">
        <v>65</v>
      </c>
      <c r="P166" s="151">
        <f t="shared" si="46"/>
        <v>1</v>
      </c>
      <c r="Q166" s="101">
        <f t="shared" si="39"/>
        <v>2500000000</v>
      </c>
      <c r="R166" s="101">
        <f t="shared" si="40"/>
        <v>2500000000</v>
      </c>
      <c r="S166" s="144" t="s">
        <v>56</v>
      </c>
      <c r="T166" s="151">
        <f t="shared" si="47"/>
        <v>0</v>
      </c>
      <c r="U166" s="27" t="str">
        <f t="shared" si="48"/>
        <v>SUBDIRECCION DE GESTION CONTRACTUAL</v>
      </c>
      <c r="V166" s="151" t="str">
        <f t="shared" si="49"/>
        <v>CO-DC</v>
      </c>
      <c r="W166" s="151" t="str">
        <f t="shared" si="50"/>
        <v>Distrito Capital de Bogotá</v>
      </c>
      <c r="X166" s="104" t="s">
        <v>221</v>
      </c>
      <c r="Y166" s="91">
        <v>2427401</v>
      </c>
      <c r="Z166" s="85" t="s">
        <v>222</v>
      </c>
    </row>
    <row r="167" spans="1:26" s="5" customFormat="1" ht="12.75" hidden="1" customHeight="1" x14ac:dyDescent="0.25">
      <c r="A167" s="148" t="s">
        <v>217</v>
      </c>
      <c r="B167" s="104">
        <v>62</v>
      </c>
      <c r="C167" s="134" t="s">
        <v>223</v>
      </c>
      <c r="D167" s="92" t="s">
        <v>224</v>
      </c>
      <c r="E167" s="149"/>
      <c r="F167" s="93">
        <v>2800000000</v>
      </c>
      <c r="G167" s="149"/>
      <c r="H167" s="94" t="s">
        <v>219</v>
      </c>
      <c r="I167" s="143" t="s">
        <v>225</v>
      </c>
      <c r="J167" s="144">
        <v>12</v>
      </c>
      <c r="K167" s="144">
        <v>12</v>
      </c>
      <c r="L167" s="144">
        <v>9</v>
      </c>
      <c r="M167" s="151">
        <f t="shared" si="45"/>
        <v>1</v>
      </c>
      <c r="N167" s="144" t="s">
        <v>64</v>
      </c>
      <c r="O167" s="99" t="s">
        <v>65</v>
      </c>
      <c r="P167" s="151">
        <f t="shared" si="46"/>
        <v>1</v>
      </c>
      <c r="Q167" s="101">
        <f t="shared" si="39"/>
        <v>2800000000</v>
      </c>
      <c r="R167" s="101">
        <f t="shared" si="40"/>
        <v>2800000000</v>
      </c>
      <c r="S167" s="144" t="s">
        <v>56</v>
      </c>
      <c r="T167" s="151">
        <f t="shared" si="47"/>
        <v>0</v>
      </c>
      <c r="U167" s="27" t="str">
        <f t="shared" si="48"/>
        <v>SUBDIRECCION DE GESTION CONTRACTUAL</v>
      </c>
      <c r="V167" s="151" t="str">
        <f t="shared" si="49"/>
        <v>CO-DC</v>
      </c>
      <c r="W167" s="151" t="str">
        <f t="shared" si="50"/>
        <v>Distrito Capital de Bogotá</v>
      </c>
      <c r="X167" s="104" t="s">
        <v>221</v>
      </c>
      <c r="Y167" s="91">
        <v>2427401</v>
      </c>
      <c r="Z167" s="85" t="s">
        <v>222</v>
      </c>
    </row>
    <row r="168" spans="1:26" s="5" customFormat="1" ht="12.75" hidden="1" customHeight="1" x14ac:dyDescent="0.25">
      <c r="A168" s="148" t="s">
        <v>217</v>
      </c>
      <c r="B168" s="104">
        <v>63</v>
      </c>
      <c r="C168" s="134" t="s">
        <v>223</v>
      </c>
      <c r="D168" s="92" t="s">
        <v>224</v>
      </c>
      <c r="E168" s="149"/>
      <c r="F168" s="93">
        <v>5643645453</v>
      </c>
      <c r="G168" s="149"/>
      <c r="H168" s="94" t="s">
        <v>219</v>
      </c>
      <c r="I168" s="143" t="s">
        <v>225</v>
      </c>
      <c r="J168" s="144">
        <v>12</v>
      </c>
      <c r="K168" s="144">
        <v>12</v>
      </c>
      <c r="L168" s="144">
        <v>9</v>
      </c>
      <c r="M168" s="151">
        <v>1</v>
      </c>
      <c r="N168" s="144" t="s">
        <v>64</v>
      </c>
      <c r="O168" s="99" t="s">
        <v>65</v>
      </c>
      <c r="P168" s="151">
        <v>1</v>
      </c>
      <c r="Q168" s="101">
        <f t="shared" si="39"/>
        <v>5643645453</v>
      </c>
      <c r="R168" s="101">
        <f t="shared" si="40"/>
        <v>5643645453</v>
      </c>
      <c r="S168" s="144" t="s">
        <v>56</v>
      </c>
      <c r="T168" s="151">
        <v>0</v>
      </c>
      <c r="U168" s="27" t="s">
        <v>280</v>
      </c>
      <c r="V168" s="151" t="s">
        <v>207</v>
      </c>
      <c r="W168" s="151" t="s">
        <v>208</v>
      </c>
      <c r="X168" s="104" t="s">
        <v>221</v>
      </c>
      <c r="Y168" s="91">
        <v>2427401</v>
      </c>
      <c r="Z168" s="85" t="s">
        <v>222</v>
      </c>
    </row>
    <row r="169" spans="1:26" s="5" customFormat="1" ht="12.75" hidden="1" customHeight="1" x14ac:dyDescent="0.25">
      <c r="A169" s="148" t="s">
        <v>217</v>
      </c>
      <c r="B169" s="104">
        <v>64</v>
      </c>
      <c r="C169" s="134" t="s">
        <v>223</v>
      </c>
      <c r="D169" s="92" t="s">
        <v>224</v>
      </c>
      <c r="E169" s="149"/>
      <c r="F169" s="93">
        <v>1000000000</v>
      </c>
      <c r="G169" s="149"/>
      <c r="H169" s="94" t="s">
        <v>219</v>
      </c>
      <c r="I169" s="143" t="s">
        <v>225</v>
      </c>
      <c r="J169" s="144">
        <v>12</v>
      </c>
      <c r="K169" s="144">
        <v>12</v>
      </c>
      <c r="L169" s="144">
        <v>9</v>
      </c>
      <c r="M169" s="151">
        <v>1</v>
      </c>
      <c r="N169" s="144" t="s">
        <v>64</v>
      </c>
      <c r="O169" s="99" t="s">
        <v>65</v>
      </c>
      <c r="P169" s="151">
        <v>1</v>
      </c>
      <c r="Q169" s="101">
        <f t="shared" si="39"/>
        <v>1000000000</v>
      </c>
      <c r="R169" s="101">
        <f t="shared" si="40"/>
        <v>1000000000</v>
      </c>
      <c r="S169" s="144" t="s">
        <v>56</v>
      </c>
      <c r="T169" s="151">
        <v>0</v>
      </c>
      <c r="U169" s="27" t="s">
        <v>280</v>
      </c>
      <c r="V169" s="151" t="s">
        <v>207</v>
      </c>
      <c r="W169" s="151" t="s">
        <v>208</v>
      </c>
      <c r="X169" s="104" t="s">
        <v>221</v>
      </c>
      <c r="Y169" s="91">
        <v>2427401</v>
      </c>
      <c r="Z169" s="85" t="s">
        <v>222</v>
      </c>
    </row>
    <row r="170" spans="1:26" s="5" customFormat="1" ht="12.75" hidden="1" customHeight="1" x14ac:dyDescent="0.25">
      <c r="A170" s="148" t="s">
        <v>217</v>
      </c>
      <c r="B170" s="104">
        <v>65</v>
      </c>
      <c r="C170" s="134" t="s">
        <v>223</v>
      </c>
      <c r="D170" s="92" t="s">
        <v>224</v>
      </c>
      <c r="E170" s="149"/>
      <c r="F170" s="93">
        <v>850000000</v>
      </c>
      <c r="G170" s="149"/>
      <c r="H170" s="94" t="s">
        <v>219</v>
      </c>
      <c r="I170" s="143" t="s">
        <v>225</v>
      </c>
      <c r="J170" s="144">
        <v>12</v>
      </c>
      <c r="K170" s="144">
        <v>12</v>
      </c>
      <c r="L170" s="144">
        <v>9</v>
      </c>
      <c r="M170" s="151">
        <v>1</v>
      </c>
      <c r="N170" s="144" t="s">
        <v>64</v>
      </c>
      <c r="O170" s="99" t="s">
        <v>65</v>
      </c>
      <c r="P170" s="151">
        <v>1</v>
      </c>
      <c r="Q170" s="101">
        <f t="shared" si="39"/>
        <v>850000000</v>
      </c>
      <c r="R170" s="101">
        <f t="shared" si="40"/>
        <v>850000000</v>
      </c>
      <c r="S170" s="144" t="s">
        <v>56</v>
      </c>
      <c r="T170" s="151">
        <v>0</v>
      </c>
      <c r="U170" s="27" t="s">
        <v>280</v>
      </c>
      <c r="V170" s="151" t="s">
        <v>207</v>
      </c>
      <c r="W170" s="151" t="s">
        <v>208</v>
      </c>
      <c r="X170" s="104" t="s">
        <v>221</v>
      </c>
      <c r="Y170" s="91">
        <v>2427401</v>
      </c>
      <c r="Z170" s="85" t="s">
        <v>222</v>
      </c>
    </row>
    <row r="171" spans="1:26" s="5" customFormat="1" ht="12.75" hidden="1" customHeight="1" x14ac:dyDescent="0.25">
      <c r="A171" s="148" t="s">
        <v>217</v>
      </c>
      <c r="B171" s="104">
        <v>66</v>
      </c>
      <c r="C171" s="134" t="s">
        <v>223</v>
      </c>
      <c r="D171" s="92" t="s">
        <v>224</v>
      </c>
      <c r="E171" s="149"/>
      <c r="F171" s="93">
        <v>700000000</v>
      </c>
      <c r="G171" s="149"/>
      <c r="H171" s="94" t="s">
        <v>219</v>
      </c>
      <c r="I171" s="143" t="s">
        <v>225</v>
      </c>
      <c r="J171" s="144">
        <v>12</v>
      </c>
      <c r="K171" s="144">
        <v>12</v>
      </c>
      <c r="L171" s="144">
        <v>9</v>
      </c>
      <c r="M171" s="151">
        <v>1</v>
      </c>
      <c r="N171" s="144" t="s">
        <v>64</v>
      </c>
      <c r="O171" s="99" t="s">
        <v>65</v>
      </c>
      <c r="P171" s="151">
        <v>1</v>
      </c>
      <c r="Q171" s="101">
        <f t="shared" si="39"/>
        <v>700000000</v>
      </c>
      <c r="R171" s="101">
        <f t="shared" si="40"/>
        <v>700000000</v>
      </c>
      <c r="S171" s="144" t="s">
        <v>56</v>
      </c>
      <c r="T171" s="151">
        <v>0</v>
      </c>
      <c r="U171" s="27" t="s">
        <v>280</v>
      </c>
      <c r="V171" s="151" t="s">
        <v>207</v>
      </c>
      <c r="W171" s="151" t="s">
        <v>208</v>
      </c>
      <c r="X171" s="104" t="s">
        <v>221</v>
      </c>
      <c r="Y171" s="91">
        <v>2427401</v>
      </c>
      <c r="Z171" s="85" t="s">
        <v>222</v>
      </c>
    </row>
    <row r="172" spans="1:26" s="5" customFormat="1" ht="12.75" hidden="1" customHeight="1" x14ac:dyDescent="0.25">
      <c r="A172" s="148" t="s">
        <v>217</v>
      </c>
      <c r="B172" s="104">
        <v>67</v>
      </c>
      <c r="C172" s="134" t="s">
        <v>223</v>
      </c>
      <c r="D172" s="92" t="s">
        <v>224</v>
      </c>
      <c r="E172" s="149"/>
      <c r="F172" s="93">
        <v>500000000</v>
      </c>
      <c r="G172" s="149"/>
      <c r="H172" s="94" t="s">
        <v>219</v>
      </c>
      <c r="I172" s="143" t="s">
        <v>225</v>
      </c>
      <c r="J172" s="144">
        <v>12</v>
      </c>
      <c r="K172" s="144">
        <v>12</v>
      </c>
      <c r="L172" s="144">
        <v>9</v>
      </c>
      <c r="M172" s="151">
        <f>IF(ISBLANK(J172),"",1)</f>
        <v>1</v>
      </c>
      <c r="N172" s="144" t="s">
        <v>64</v>
      </c>
      <c r="O172" s="99" t="s">
        <v>65</v>
      </c>
      <c r="P172" s="151">
        <f>IF(ISBLANK(N172),"",1)</f>
        <v>1</v>
      </c>
      <c r="Q172" s="101">
        <f t="shared" si="39"/>
        <v>500000000</v>
      </c>
      <c r="R172" s="101">
        <f t="shared" si="40"/>
        <v>500000000</v>
      </c>
      <c r="S172" s="144" t="s">
        <v>56</v>
      </c>
      <c r="T172" s="151">
        <f>IF(ISBLANK(S172),"",IF(VALUE(S172)=0,0,IF(VALUE(S172)=1,3,"")))</f>
        <v>0</v>
      </c>
      <c r="U172" s="27" t="str">
        <f>IF(ISBLANK(N172),"","SUBDIRECCION DE GESTION CONTRACTUAL")</f>
        <v>SUBDIRECCION DE GESTION CONTRACTUAL</v>
      </c>
      <c r="V172" s="151" t="str">
        <f>IF(ISBLANK(N172),"","CO-DC")</f>
        <v>CO-DC</v>
      </c>
      <c r="W172" s="151" t="str">
        <f>IF(ISBLANK(N172),"","Distrito Capital de Bogotá")</f>
        <v>Distrito Capital de Bogotá</v>
      </c>
      <c r="X172" s="104" t="s">
        <v>221</v>
      </c>
      <c r="Y172" s="91">
        <v>2427401</v>
      </c>
      <c r="Z172" s="85" t="s">
        <v>222</v>
      </c>
    </row>
    <row r="173" spans="1:26" s="5" customFormat="1" ht="12.75" hidden="1" customHeight="1" x14ac:dyDescent="0.25">
      <c r="A173" s="148" t="s">
        <v>217</v>
      </c>
      <c r="B173" s="104">
        <v>68</v>
      </c>
      <c r="C173" s="134" t="s">
        <v>218</v>
      </c>
      <c r="D173" s="92" t="s">
        <v>152</v>
      </c>
      <c r="E173" s="149"/>
      <c r="F173" s="93">
        <v>933157661</v>
      </c>
      <c r="G173" s="149"/>
      <c r="H173" s="94" t="s">
        <v>219</v>
      </c>
      <c r="I173" s="150" t="s">
        <v>225</v>
      </c>
      <c r="J173" s="144">
        <v>12</v>
      </c>
      <c r="K173" s="144">
        <v>12</v>
      </c>
      <c r="L173" s="144">
        <v>9</v>
      </c>
      <c r="M173" s="151">
        <v>1</v>
      </c>
      <c r="N173" s="144" t="s">
        <v>64</v>
      </c>
      <c r="O173" s="99" t="s">
        <v>65</v>
      </c>
      <c r="P173" s="151">
        <v>1</v>
      </c>
      <c r="Q173" s="101">
        <v>933157661</v>
      </c>
      <c r="R173" s="101">
        <v>933157661</v>
      </c>
      <c r="S173" s="144" t="s">
        <v>56</v>
      </c>
      <c r="T173" s="151">
        <v>0</v>
      </c>
      <c r="U173" s="27" t="s">
        <v>280</v>
      </c>
      <c r="V173" s="151" t="s">
        <v>207</v>
      </c>
      <c r="W173" s="151" t="s">
        <v>208</v>
      </c>
      <c r="X173" s="104" t="s">
        <v>221</v>
      </c>
      <c r="Y173" s="91">
        <v>2427401</v>
      </c>
      <c r="Z173" s="85" t="s">
        <v>222</v>
      </c>
    </row>
    <row r="174" spans="1:26" s="5" customFormat="1" ht="12.75" hidden="1" customHeight="1" x14ac:dyDescent="0.25">
      <c r="A174" s="148" t="s">
        <v>217</v>
      </c>
      <c r="B174" s="104">
        <v>69</v>
      </c>
      <c r="C174" s="134" t="s">
        <v>253</v>
      </c>
      <c r="D174" s="92" t="s">
        <v>254</v>
      </c>
      <c r="E174" s="149"/>
      <c r="F174" s="93">
        <f>1400000000-1400000000</f>
        <v>0</v>
      </c>
      <c r="G174" s="149"/>
      <c r="H174" s="94" t="s">
        <v>219</v>
      </c>
      <c r="I174" s="150" t="s">
        <v>282</v>
      </c>
      <c r="J174" s="144">
        <v>10</v>
      </c>
      <c r="K174" s="144">
        <v>11</v>
      </c>
      <c r="L174" s="144">
        <v>2</v>
      </c>
      <c r="M174" s="151">
        <v>1</v>
      </c>
      <c r="N174" s="144" t="s">
        <v>64</v>
      </c>
      <c r="O174" s="99" t="s">
        <v>65</v>
      </c>
      <c r="P174" s="151">
        <v>1</v>
      </c>
      <c r="Q174" s="101">
        <f t="shared" ref="Q174" si="51">+E174+F174+G174</f>
        <v>0</v>
      </c>
      <c r="R174" s="101">
        <f t="shared" ref="R174" si="52">+F174</f>
        <v>0</v>
      </c>
      <c r="S174" s="144" t="s">
        <v>56</v>
      </c>
      <c r="T174" s="151">
        <v>0</v>
      </c>
      <c r="U174" s="27" t="s">
        <v>280</v>
      </c>
      <c r="V174" s="151" t="s">
        <v>207</v>
      </c>
      <c r="W174" s="151" t="s">
        <v>208</v>
      </c>
      <c r="X174" s="104" t="s">
        <v>221</v>
      </c>
      <c r="Y174" s="91">
        <v>2427401</v>
      </c>
      <c r="Z174" s="85" t="s">
        <v>222</v>
      </c>
    </row>
    <row r="175" spans="1:26" s="5" customFormat="1" ht="12.75" hidden="1" customHeight="1" x14ac:dyDescent="0.25">
      <c r="A175" s="148" t="s">
        <v>217</v>
      </c>
      <c r="B175" s="104">
        <v>70</v>
      </c>
      <c r="C175" s="134" t="s">
        <v>250</v>
      </c>
      <c r="D175" s="92" t="s">
        <v>248</v>
      </c>
      <c r="E175" s="149"/>
      <c r="F175" s="93">
        <f>3011100000-2450000000</f>
        <v>561100000</v>
      </c>
      <c r="G175" s="149"/>
      <c r="H175" s="94" t="s">
        <v>219</v>
      </c>
      <c r="I175" s="134" t="s">
        <v>283</v>
      </c>
      <c r="J175" s="144">
        <v>11</v>
      </c>
      <c r="K175" s="144">
        <v>11</v>
      </c>
      <c r="L175" s="144">
        <v>2</v>
      </c>
      <c r="M175" s="151">
        <v>1</v>
      </c>
      <c r="N175" s="144" t="s">
        <v>64</v>
      </c>
      <c r="O175" s="99" t="s">
        <v>65</v>
      </c>
      <c r="P175" s="151">
        <v>1</v>
      </c>
      <c r="Q175" s="101">
        <v>3011100000</v>
      </c>
      <c r="R175" s="101">
        <v>3011100000</v>
      </c>
      <c r="S175" s="144" t="s">
        <v>56</v>
      </c>
      <c r="T175" s="151">
        <v>0</v>
      </c>
      <c r="U175" s="27" t="s">
        <v>280</v>
      </c>
      <c r="V175" s="151" t="s">
        <v>207</v>
      </c>
      <c r="W175" s="151" t="s">
        <v>208</v>
      </c>
      <c r="X175" s="104" t="s">
        <v>221</v>
      </c>
      <c r="Y175" s="91">
        <v>2427401</v>
      </c>
      <c r="Z175" s="85" t="s">
        <v>222</v>
      </c>
    </row>
    <row r="176" spans="1:26" s="5" customFormat="1" ht="36" hidden="1" customHeight="1" x14ac:dyDescent="0.25">
      <c r="A176" s="148" t="s">
        <v>217</v>
      </c>
      <c r="B176" s="104">
        <v>71</v>
      </c>
      <c r="C176" s="134" t="s">
        <v>231</v>
      </c>
      <c r="D176" s="92" t="s">
        <v>279</v>
      </c>
      <c r="E176" s="149"/>
      <c r="F176" s="93">
        <v>138900000</v>
      </c>
      <c r="G176" s="149"/>
      <c r="H176" s="94" t="s">
        <v>260</v>
      </c>
      <c r="I176" s="143" t="s">
        <v>225</v>
      </c>
      <c r="J176" s="144">
        <v>12</v>
      </c>
      <c r="K176" s="144">
        <v>12</v>
      </c>
      <c r="L176" s="144">
        <v>9</v>
      </c>
      <c r="M176" s="151">
        <v>1</v>
      </c>
      <c r="N176" s="144" t="s">
        <v>64</v>
      </c>
      <c r="O176" s="99" t="s">
        <v>65</v>
      </c>
      <c r="P176" s="151">
        <v>1</v>
      </c>
      <c r="Q176" s="101">
        <v>138900000</v>
      </c>
      <c r="R176" s="101">
        <v>138900000</v>
      </c>
      <c r="S176" s="144" t="s">
        <v>56</v>
      </c>
      <c r="T176" s="151">
        <v>0</v>
      </c>
      <c r="U176" s="27" t="s">
        <v>280</v>
      </c>
      <c r="V176" s="151" t="s">
        <v>207</v>
      </c>
      <c r="W176" s="151" t="s">
        <v>208</v>
      </c>
      <c r="X176" s="104" t="s">
        <v>221</v>
      </c>
      <c r="Y176" s="91">
        <v>2427401</v>
      </c>
      <c r="Z176" s="85" t="s">
        <v>222</v>
      </c>
    </row>
    <row r="177" spans="1:26" s="5" customFormat="1" ht="12.75" hidden="1" customHeight="1" x14ac:dyDescent="0.25">
      <c r="A177" s="148" t="s">
        <v>217</v>
      </c>
      <c r="B177" s="104">
        <v>72</v>
      </c>
      <c r="C177" s="134" t="s">
        <v>284</v>
      </c>
      <c r="D177" s="92" t="s">
        <v>224</v>
      </c>
      <c r="E177" s="149"/>
      <c r="F177" s="93">
        <f>3000000000-550000000</f>
        <v>2450000000</v>
      </c>
      <c r="G177" s="149"/>
      <c r="H177" s="94" t="s">
        <v>219</v>
      </c>
      <c r="I177" s="134" t="s">
        <v>283</v>
      </c>
      <c r="J177" s="144">
        <v>11</v>
      </c>
      <c r="K177" s="144">
        <v>11</v>
      </c>
      <c r="L177" s="144">
        <v>2</v>
      </c>
      <c r="M177" s="151">
        <v>1</v>
      </c>
      <c r="N177" s="144" t="s">
        <v>64</v>
      </c>
      <c r="O177" s="99" t="s">
        <v>65</v>
      </c>
      <c r="P177" s="151">
        <v>1</v>
      </c>
      <c r="Q177" s="101">
        <f t="shared" ref="Q177" si="53">+E177+F177+G177</f>
        <v>2450000000</v>
      </c>
      <c r="R177" s="101">
        <f t="shared" ref="R177" si="54">+F177</f>
        <v>2450000000</v>
      </c>
      <c r="S177" s="144" t="s">
        <v>56</v>
      </c>
      <c r="T177" s="151">
        <v>0</v>
      </c>
      <c r="U177" s="27" t="s">
        <v>280</v>
      </c>
      <c r="V177" s="151" t="s">
        <v>207</v>
      </c>
      <c r="W177" s="151" t="s">
        <v>208</v>
      </c>
      <c r="X177" s="104" t="s">
        <v>221</v>
      </c>
      <c r="Y177" s="91">
        <v>2427401</v>
      </c>
      <c r="Z177" s="85" t="s">
        <v>222</v>
      </c>
    </row>
    <row r="178" spans="1:26" s="5" customFormat="1" ht="114" hidden="1" customHeight="1" x14ac:dyDescent="0.25">
      <c r="A178" s="148" t="s">
        <v>217</v>
      </c>
      <c r="B178" s="104">
        <v>73</v>
      </c>
      <c r="C178" s="134" t="s">
        <v>284</v>
      </c>
      <c r="D178" s="92" t="s">
        <v>224</v>
      </c>
      <c r="E178" s="149"/>
      <c r="F178" s="93">
        <v>550000000</v>
      </c>
      <c r="G178" s="149"/>
      <c r="H178" s="94" t="s">
        <v>219</v>
      </c>
      <c r="I178" s="134" t="s">
        <v>225</v>
      </c>
      <c r="J178" s="144">
        <v>12</v>
      </c>
      <c r="K178" s="144">
        <v>12</v>
      </c>
      <c r="L178" s="144">
        <v>9</v>
      </c>
      <c r="M178" s="151">
        <v>1</v>
      </c>
      <c r="N178" s="144" t="s">
        <v>64</v>
      </c>
      <c r="O178" s="99" t="s">
        <v>65</v>
      </c>
      <c r="P178" s="151">
        <v>1</v>
      </c>
      <c r="Q178" s="101">
        <f t="shared" ref="Q178:Q179" si="55">IF(VALUE(E178+F178+G178)=0,"",E178+F178+G178)</f>
        <v>550000000</v>
      </c>
      <c r="R178" s="101">
        <f t="shared" ref="R178:R179" si="56">IF(VALUE(F178)=0,"",F178)</f>
        <v>550000000</v>
      </c>
      <c r="S178" s="144" t="s">
        <v>56</v>
      </c>
      <c r="T178" s="151">
        <v>0</v>
      </c>
      <c r="U178" s="27" t="s">
        <v>280</v>
      </c>
      <c r="V178" s="151" t="s">
        <v>207</v>
      </c>
      <c r="W178" s="151" t="s">
        <v>208</v>
      </c>
      <c r="X178" s="104" t="s">
        <v>221</v>
      </c>
      <c r="Y178" s="91">
        <v>2427401</v>
      </c>
      <c r="Z178" s="85" t="s">
        <v>222</v>
      </c>
    </row>
    <row r="179" spans="1:26" s="5" customFormat="1" ht="72.75" hidden="1" customHeight="1" x14ac:dyDescent="0.25">
      <c r="A179" s="148" t="s">
        <v>217</v>
      </c>
      <c r="B179" s="104">
        <v>74</v>
      </c>
      <c r="C179" s="134" t="s">
        <v>285</v>
      </c>
      <c r="D179" s="92" t="s">
        <v>224</v>
      </c>
      <c r="E179" s="149"/>
      <c r="F179" s="93">
        <f>480757422</f>
        <v>480757422</v>
      </c>
      <c r="G179" s="149"/>
      <c r="H179" s="94" t="s">
        <v>219</v>
      </c>
      <c r="I179" s="134" t="s">
        <v>225</v>
      </c>
      <c r="J179" s="144">
        <v>12</v>
      </c>
      <c r="K179" s="144">
        <v>12</v>
      </c>
      <c r="L179" s="144">
        <v>9</v>
      </c>
      <c r="M179" s="151">
        <v>1</v>
      </c>
      <c r="N179" s="144" t="s">
        <v>64</v>
      </c>
      <c r="O179" s="99" t="s">
        <v>65</v>
      </c>
      <c r="P179" s="151">
        <v>1</v>
      </c>
      <c r="Q179" s="101">
        <f t="shared" si="55"/>
        <v>480757422</v>
      </c>
      <c r="R179" s="101">
        <f t="shared" si="56"/>
        <v>480757422</v>
      </c>
      <c r="S179" s="144" t="s">
        <v>56</v>
      </c>
      <c r="T179" s="151">
        <v>0</v>
      </c>
      <c r="U179" s="27" t="s">
        <v>280</v>
      </c>
      <c r="V179" s="151" t="s">
        <v>207</v>
      </c>
      <c r="W179" s="151" t="s">
        <v>208</v>
      </c>
      <c r="X179" s="104" t="s">
        <v>221</v>
      </c>
      <c r="Y179" s="91">
        <v>2427401</v>
      </c>
      <c r="Z179" s="85" t="s">
        <v>222</v>
      </c>
    </row>
    <row r="180" spans="1:26" s="5" customFormat="1" ht="12.75" hidden="1" customHeight="1" x14ac:dyDescent="0.25">
      <c r="A180" s="90" t="s">
        <v>286</v>
      </c>
      <c r="B180" s="91">
        <v>1</v>
      </c>
      <c r="C180" s="92" t="s">
        <v>287</v>
      </c>
      <c r="D180" s="92" t="s">
        <v>288</v>
      </c>
      <c r="E180" s="93"/>
      <c r="F180" s="93">
        <f>1612449178+553606175+150000000</f>
        <v>2316055353</v>
      </c>
      <c r="G180" s="93"/>
      <c r="H180" s="94">
        <v>80111600</v>
      </c>
      <c r="I180" s="76" t="s">
        <v>289</v>
      </c>
      <c r="J180" s="95">
        <v>1</v>
      </c>
      <c r="K180" s="96">
        <v>1</v>
      </c>
      <c r="L180" s="97">
        <v>12</v>
      </c>
      <c r="M180" s="91">
        <f t="shared" ref="M180:M210" si="57">IF(ISBLANK(J180),"",1)</f>
        <v>1</v>
      </c>
      <c r="N180" s="98" t="s">
        <v>54</v>
      </c>
      <c r="O180" s="99" t="s">
        <v>55</v>
      </c>
      <c r="P180" s="100">
        <f t="shared" ref="P180:P210" si="58">IF(ISBLANK(N180),"",1)</f>
        <v>1</v>
      </c>
      <c r="Q180" s="101">
        <f t="shared" ref="Q180:Q209" si="59">+E180+F180+G180</f>
        <v>2316055353</v>
      </c>
      <c r="R180" s="101">
        <f t="shared" ref="R180:R209" si="60">+F180</f>
        <v>2316055353</v>
      </c>
      <c r="S180" s="102" t="s">
        <v>56</v>
      </c>
      <c r="T180" s="98">
        <f t="shared" ref="T180:T210" si="61">IF(ISBLANK(S180),"",IF(VALUE(S180)=0,0,IF(VALUE(S180)=1,3,"")))</f>
        <v>0</v>
      </c>
      <c r="U180" s="27" t="str">
        <f t="shared" ref="U180:U210" si="62">IF(ISBLANK(N180),"","SUBDIRECCION DE GESTION CONTRACTUAL")</f>
        <v>SUBDIRECCION DE GESTION CONTRACTUAL</v>
      </c>
      <c r="V180" s="91" t="str">
        <f t="shared" ref="V180:V210" si="63">IF(ISBLANK(N180),"","CO-DC")</f>
        <v>CO-DC</v>
      </c>
      <c r="W180" s="27" t="str">
        <f t="shared" ref="W180:W210" si="64">IF(ISBLANK(N180),"","Distrito Capital de Bogotá")</f>
        <v>Distrito Capital de Bogotá</v>
      </c>
      <c r="X180" s="103" t="s">
        <v>290</v>
      </c>
      <c r="Y180" s="103">
        <v>2427400</v>
      </c>
      <c r="Z180" s="85" t="s">
        <v>291</v>
      </c>
    </row>
    <row r="181" spans="1:26" s="5" customFormat="1" ht="12.75" hidden="1" customHeight="1" x14ac:dyDescent="0.2">
      <c r="A181" s="90" t="s">
        <v>286</v>
      </c>
      <c r="B181" s="91">
        <v>2</v>
      </c>
      <c r="C181" s="92" t="s">
        <v>287</v>
      </c>
      <c r="D181" s="92" t="s">
        <v>288</v>
      </c>
      <c r="E181" s="93"/>
      <c r="F181" s="93">
        <v>0</v>
      </c>
      <c r="G181" s="93"/>
      <c r="H181" s="94" t="s">
        <v>67</v>
      </c>
      <c r="I181" s="76" t="s">
        <v>292</v>
      </c>
      <c r="J181" s="124">
        <v>1</v>
      </c>
      <c r="K181" s="124">
        <v>2</v>
      </c>
      <c r="L181" s="124">
        <v>3</v>
      </c>
      <c r="M181" s="91">
        <f t="shared" si="57"/>
        <v>1</v>
      </c>
      <c r="N181" s="98" t="s">
        <v>64</v>
      </c>
      <c r="O181" s="99" t="s">
        <v>65</v>
      </c>
      <c r="P181" s="100">
        <f t="shared" si="58"/>
        <v>1</v>
      </c>
      <c r="Q181" s="101">
        <f t="shared" si="59"/>
        <v>0</v>
      </c>
      <c r="R181" s="101">
        <f t="shared" si="60"/>
        <v>0</v>
      </c>
      <c r="S181" s="102" t="s">
        <v>56</v>
      </c>
      <c r="T181" s="98">
        <f t="shared" si="61"/>
        <v>0</v>
      </c>
      <c r="U181" s="27" t="str">
        <f t="shared" si="62"/>
        <v>SUBDIRECCION DE GESTION CONTRACTUAL</v>
      </c>
      <c r="V181" s="91" t="str">
        <f t="shared" si="63"/>
        <v>CO-DC</v>
      </c>
      <c r="W181" s="27" t="str">
        <f t="shared" si="64"/>
        <v>Distrito Capital de Bogotá</v>
      </c>
      <c r="X181" s="103" t="s">
        <v>293</v>
      </c>
      <c r="Y181" s="91">
        <v>2427400</v>
      </c>
      <c r="Z181" s="105" t="s">
        <v>294</v>
      </c>
    </row>
    <row r="182" spans="1:26" s="5" customFormat="1" ht="12.75" hidden="1" customHeight="1" x14ac:dyDescent="0.2">
      <c r="A182" s="90" t="s">
        <v>286</v>
      </c>
      <c r="B182" s="91">
        <v>3</v>
      </c>
      <c r="C182" s="92" t="s">
        <v>287</v>
      </c>
      <c r="D182" s="92" t="s">
        <v>288</v>
      </c>
      <c r="E182" s="93"/>
      <c r="F182" s="93">
        <f>150302362+40000000</f>
        <v>190302362</v>
      </c>
      <c r="G182" s="93"/>
      <c r="H182" s="94" t="s">
        <v>67</v>
      </c>
      <c r="I182" s="76" t="s">
        <v>292</v>
      </c>
      <c r="J182" s="95">
        <v>2</v>
      </c>
      <c r="K182" s="96">
        <v>3</v>
      </c>
      <c r="L182" s="97">
        <v>9</v>
      </c>
      <c r="M182" s="91">
        <f t="shared" si="57"/>
        <v>1</v>
      </c>
      <c r="N182" s="98" t="s">
        <v>69</v>
      </c>
      <c r="O182" s="99" t="s">
        <v>70</v>
      </c>
      <c r="P182" s="100">
        <f t="shared" si="58"/>
        <v>1</v>
      </c>
      <c r="Q182" s="101">
        <f t="shared" si="59"/>
        <v>190302362</v>
      </c>
      <c r="R182" s="101">
        <f t="shared" si="60"/>
        <v>190302362</v>
      </c>
      <c r="S182" s="102" t="s">
        <v>56</v>
      </c>
      <c r="T182" s="98">
        <f t="shared" si="61"/>
        <v>0</v>
      </c>
      <c r="U182" s="27" t="str">
        <f t="shared" si="62"/>
        <v>SUBDIRECCION DE GESTION CONTRACTUAL</v>
      </c>
      <c r="V182" s="91" t="str">
        <f t="shared" si="63"/>
        <v>CO-DC</v>
      </c>
      <c r="W182" s="27" t="str">
        <f t="shared" si="64"/>
        <v>Distrito Capital de Bogotá</v>
      </c>
      <c r="X182" s="103" t="s">
        <v>293</v>
      </c>
      <c r="Y182" s="91">
        <v>2427400</v>
      </c>
      <c r="Z182" s="105" t="s">
        <v>294</v>
      </c>
    </row>
    <row r="183" spans="1:26" s="5" customFormat="1" ht="12.75" hidden="1" customHeight="1" x14ac:dyDescent="0.2">
      <c r="A183" s="90" t="s">
        <v>286</v>
      </c>
      <c r="B183" s="91">
        <v>4</v>
      </c>
      <c r="C183" s="92" t="s">
        <v>287</v>
      </c>
      <c r="D183" s="92" t="s">
        <v>288</v>
      </c>
      <c r="E183" s="93"/>
      <c r="F183" s="93">
        <v>50000000</v>
      </c>
      <c r="G183" s="93"/>
      <c r="H183" s="94" t="s">
        <v>59</v>
      </c>
      <c r="I183" s="76" t="s">
        <v>295</v>
      </c>
      <c r="J183" s="95">
        <v>3</v>
      </c>
      <c r="K183" s="96">
        <v>4</v>
      </c>
      <c r="L183" s="97">
        <v>9</v>
      </c>
      <c r="M183" s="91">
        <f t="shared" si="57"/>
        <v>1</v>
      </c>
      <c r="N183" s="98" t="s">
        <v>61</v>
      </c>
      <c r="O183" s="99" t="s">
        <v>62</v>
      </c>
      <c r="P183" s="100">
        <f t="shared" si="58"/>
        <v>1</v>
      </c>
      <c r="Q183" s="101">
        <f t="shared" si="59"/>
        <v>50000000</v>
      </c>
      <c r="R183" s="101">
        <f t="shared" si="60"/>
        <v>50000000</v>
      </c>
      <c r="S183" s="102" t="s">
        <v>56</v>
      </c>
      <c r="T183" s="98">
        <f t="shared" si="61"/>
        <v>0</v>
      </c>
      <c r="U183" s="27" t="str">
        <f t="shared" si="62"/>
        <v>SUBDIRECCION DE GESTION CONTRACTUAL</v>
      </c>
      <c r="V183" s="91" t="str">
        <f t="shared" si="63"/>
        <v>CO-DC</v>
      </c>
      <c r="W183" s="27" t="str">
        <f t="shared" si="64"/>
        <v>Distrito Capital de Bogotá</v>
      </c>
      <c r="X183" s="103" t="s">
        <v>162</v>
      </c>
      <c r="Y183" s="91">
        <v>2427400</v>
      </c>
      <c r="Z183" s="105" t="s">
        <v>163</v>
      </c>
    </row>
    <row r="184" spans="1:26" s="5" customFormat="1" ht="12.75" hidden="1" customHeight="1" x14ac:dyDescent="0.25">
      <c r="A184" s="90" t="s">
        <v>286</v>
      </c>
      <c r="B184" s="91">
        <v>5</v>
      </c>
      <c r="C184" s="92" t="s">
        <v>287</v>
      </c>
      <c r="D184" s="92" t="s">
        <v>288</v>
      </c>
      <c r="E184" s="93"/>
      <c r="F184" s="93">
        <f>605901056-105901056-150000000</f>
        <v>350000000</v>
      </c>
      <c r="G184" s="93"/>
      <c r="H184" s="94" t="s">
        <v>296</v>
      </c>
      <c r="I184" s="76" t="s">
        <v>297</v>
      </c>
      <c r="J184" s="95">
        <v>10</v>
      </c>
      <c r="K184" s="95">
        <v>10</v>
      </c>
      <c r="L184" s="97">
        <v>2</v>
      </c>
      <c r="M184" s="91">
        <f t="shared" si="57"/>
        <v>1</v>
      </c>
      <c r="N184" s="98" t="s">
        <v>54</v>
      </c>
      <c r="O184" s="99" t="s">
        <v>55</v>
      </c>
      <c r="P184" s="100">
        <f t="shared" si="58"/>
        <v>1</v>
      </c>
      <c r="Q184" s="101">
        <f t="shared" si="59"/>
        <v>350000000</v>
      </c>
      <c r="R184" s="101">
        <f t="shared" si="60"/>
        <v>350000000</v>
      </c>
      <c r="S184" s="102" t="s">
        <v>56</v>
      </c>
      <c r="T184" s="98">
        <f t="shared" si="61"/>
        <v>0</v>
      </c>
      <c r="U184" s="27" t="str">
        <f t="shared" si="62"/>
        <v>SUBDIRECCION DE GESTION CONTRACTUAL</v>
      </c>
      <c r="V184" s="91" t="str">
        <f t="shared" si="63"/>
        <v>CO-DC</v>
      </c>
      <c r="W184" s="27" t="str">
        <f t="shared" si="64"/>
        <v>Distrito Capital de Bogotá</v>
      </c>
      <c r="X184" s="103" t="s">
        <v>290</v>
      </c>
      <c r="Y184" s="103">
        <v>2427400</v>
      </c>
      <c r="Z184" s="85" t="s">
        <v>291</v>
      </c>
    </row>
    <row r="185" spans="1:26" s="5" customFormat="1" ht="12.75" hidden="1" customHeight="1" x14ac:dyDescent="0.2">
      <c r="A185" s="90" t="s">
        <v>286</v>
      </c>
      <c r="B185" s="91">
        <v>6</v>
      </c>
      <c r="C185" s="92" t="s">
        <v>287</v>
      </c>
      <c r="D185" s="92" t="s">
        <v>288</v>
      </c>
      <c r="E185" s="93"/>
      <c r="F185" s="93">
        <f>167927278-167927278</f>
        <v>0</v>
      </c>
      <c r="G185" s="93"/>
      <c r="H185" s="94" t="s">
        <v>298</v>
      </c>
      <c r="I185" s="76" t="s">
        <v>299</v>
      </c>
      <c r="J185" s="95">
        <v>2</v>
      </c>
      <c r="K185" s="96">
        <v>4</v>
      </c>
      <c r="L185" s="97">
        <v>6</v>
      </c>
      <c r="M185" s="91">
        <f t="shared" si="57"/>
        <v>1</v>
      </c>
      <c r="N185" s="98" t="s">
        <v>64</v>
      </c>
      <c r="O185" s="99" t="s">
        <v>65</v>
      </c>
      <c r="P185" s="100">
        <f t="shared" si="58"/>
        <v>1</v>
      </c>
      <c r="Q185" s="101">
        <f t="shared" si="59"/>
        <v>0</v>
      </c>
      <c r="R185" s="101">
        <f t="shared" si="60"/>
        <v>0</v>
      </c>
      <c r="S185" s="102" t="s">
        <v>56</v>
      </c>
      <c r="T185" s="98">
        <f t="shared" si="61"/>
        <v>0</v>
      </c>
      <c r="U185" s="27" t="str">
        <f t="shared" si="62"/>
        <v>SUBDIRECCION DE GESTION CONTRACTUAL</v>
      </c>
      <c r="V185" s="91" t="str">
        <f t="shared" si="63"/>
        <v>CO-DC</v>
      </c>
      <c r="W185" s="27" t="str">
        <f t="shared" si="64"/>
        <v>Distrito Capital de Bogotá</v>
      </c>
      <c r="X185" s="103" t="s">
        <v>293</v>
      </c>
      <c r="Y185" s="91">
        <v>2427400</v>
      </c>
      <c r="Z185" s="105" t="s">
        <v>294</v>
      </c>
    </row>
    <row r="186" spans="1:26" s="5" customFormat="1" ht="12.75" hidden="1" customHeight="1" x14ac:dyDescent="0.2">
      <c r="A186" s="90" t="s">
        <v>286</v>
      </c>
      <c r="B186" s="91">
        <v>7</v>
      </c>
      <c r="C186" s="92" t="s">
        <v>300</v>
      </c>
      <c r="D186" s="92" t="s">
        <v>288</v>
      </c>
      <c r="E186" s="93"/>
      <c r="F186" s="93">
        <f>849530286+100000000</f>
        <v>949530286</v>
      </c>
      <c r="G186" s="93"/>
      <c r="H186" s="94">
        <v>80111600</v>
      </c>
      <c r="I186" s="76" t="s">
        <v>289</v>
      </c>
      <c r="J186" s="95">
        <v>1</v>
      </c>
      <c r="K186" s="96">
        <v>1</v>
      </c>
      <c r="L186" s="97">
        <v>12</v>
      </c>
      <c r="M186" s="91">
        <f t="shared" si="57"/>
        <v>1</v>
      </c>
      <c r="N186" s="98" t="s">
        <v>54</v>
      </c>
      <c r="O186" s="99" t="s">
        <v>55</v>
      </c>
      <c r="P186" s="100">
        <f t="shared" si="58"/>
        <v>1</v>
      </c>
      <c r="Q186" s="101">
        <f t="shared" si="59"/>
        <v>949530286</v>
      </c>
      <c r="R186" s="101">
        <f t="shared" si="60"/>
        <v>949530286</v>
      </c>
      <c r="S186" s="102" t="s">
        <v>56</v>
      </c>
      <c r="T186" s="98">
        <f t="shared" si="61"/>
        <v>0</v>
      </c>
      <c r="U186" s="27" t="str">
        <f t="shared" si="62"/>
        <v>SUBDIRECCION DE GESTION CONTRACTUAL</v>
      </c>
      <c r="V186" s="91" t="str">
        <f t="shared" si="63"/>
        <v>CO-DC</v>
      </c>
      <c r="W186" s="27" t="str">
        <f t="shared" si="64"/>
        <v>Distrito Capital de Bogotá</v>
      </c>
      <c r="X186" s="103" t="s">
        <v>293</v>
      </c>
      <c r="Y186" s="91">
        <v>2427400</v>
      </c>
      <c r="Z186" s="105" t="s">
        <v>294</v>
      </c>
    </row>
    <row r="187" spans="1:26" s="5" customFormat="1" ht="12.75" hidden="1" customHeight="1" x14ac:dyDescent="0.2">
      <c r="A187" s="90" t="s">
        <v>286</v>
      </c>
      <c r="B187" s="91">
        <v>8</v>
      </c>
      <c r="C187" s="92" t="s">
        <v>300</v>
      </c>
      <c r="D187" s="92" t="s">
        <v>288</v>
      </c>
      <c r="E187" s="93"/>
      <c r="F187" s="93">
        <v>500000000</v>
      </c>
      <c r="G187" s="93"/>
      <c r="H187" s="94" t="s">
        <v>301</v>
      </c>
      <c r="I187" s="76" t="s">
        <v>302</v>
      </c>
      <c r="J187" s="95">
        <v>9</v>
      </c>
      <c r="K187" s="152">
        <v>9</v>
      </c>
      <c r="L187" s="97">
        <v>4</v>
      </c>
      <c r="M187" s="91">
        <f t="shared" si="57"/>
        <v>1</v>
      </c>
      <c r="N187" s="98" t="s">
        <v>113</v>
      </c>
      <c r="O187" s="99" t="s">
        <v>114</v>
      </c>
      <c r="P187" s="100">
        <f t="shared" si="58"/>
        <v>1</v>
      </c>
      <c r="Q187" s="101">
        <f t="shared" si="59"/>
        <v>500000000</v>
      </c>
      <c r="R187" s="101">
        <f t="shared" si="60"/>
        <v>500000000</v>
      </c>
      <c r="S187" s="102" t="s">
        <v>56</v>
      </c>
      <c r="T187" s="98">
        <f t="shared" si="61"/>
        <v>0</v>
      </c>
      <c r="U187" s="27" t="str">
        <f t="shared" si="62"/>
        <v>SUBDIRECCION DE GESTION CONTRACTUAL</v>
      </c>
      <c r="V187" s="91" t="str">
        <f t="shared" si="63"/>
        <v>CO-DC</v>
      </c>
      <c r="W187" s="27" t="str">
        <f t="shared" si="64"/>
        <v>Distrito Capital de Bogotá</v>
      </c>
      <c r="X187" s="103" t="s">
        <v>293</v>
      </c>
      <c r="Y187" s="91">
        <v>2427400</v>
      </c>
      <c r="Z187" s="105" t="s">
        <v>294</v>
      </c>
    </row>
    <row r="188" spans="1:26" s="5" customFormat="1" ht="12.75" hidden="1" customHeight="1" x14ac:dyDescent="0.2">
      <c r="A188" s="90" t="s">
        <v>286</v>
      </c>
      <c r="B188" s="91">
        <v>9</v>
      </c>
      <c r="C188" s="92" t="s">
        <v>300</v>
      </c>
      <c r="D188" s="92" t="s">
        <v>288</v>
      </c>
      <c r="E188" s="93"/>
      <c r="F188" s="93">
        <f>100000000-100000000</f>
        <v>0</v>
      </c>
      <c r="G188" s="93"/>
      <c r="H188" s="94" t="s">
        <v>303</v>
      </c>
      <c r="I188" s="76" t="s">
        <v>304</v>
      </c>
      <c r="J188" s="95">
        <v>4</v>
      </c>
      <c r="K188" s="152">
        <v>6</v>
      </c>
      <c r="L188" s="97">
        <v>6</v>
      </c>
      <c r="M188" s="91">
        <f t="shared" si="57"/>
        <v>1</v>
      </c>
      <c r="N188" s="98" t="s">
        <v>87</v>
      </c>
      <c r="O188" s="99" t="s">
        <v>88</v>
      </c>
      <c r="P188" s="100">
        <f t="shared" si="58"/>
        <v>1</v>
      </c>
      <c r="Q188" s="101">
        <f t="shared" si="59"/>
        <v>0</v>
      </c>
      <c r="R188" s="101">
        <f t="shared" si="60"/>
        <v>0</v>
      </c>
      <c r="S188" s="102" t="s">
        <v>56</v>
      </c>
      <c r="T188" s="98">
        <f t="shared" si="61"/>
        <v>0</v>
      </c>
      <c r="U188" s="27" t="str">
        <f t="shared" si="62"/>
        <v>SUBDIRECCION DE GESTION CONTRACTUAL</v>
      </c>
      <c r="V188" s="91" t="str">
        <f t="shared" si="63"/>
        <v>CO-DC</v>
      </c>
      <c r="W188" s="27" t="str">
        <f t="shared" si="64"/>
        <v>Distrito Capital de Bogotá</v>
      </c>
      <c r="X188" s="103" t="s">
        <v>121</v>
      </c>
      <c r="Y188" s="91">
        <v>2427400</v>
      </c>
      <c r="Z188" s="105" t="s">
        <v>305</v>
      </c>
    </row>
    <row r="189" spans="1:26" s="5" customFormat="1" ht="12.75" hidden="1" customHeight="1" x14ac:dyDescent="0.2">
      <c r="A189" s="90" t="s">
        <v>286</v>
      </c>
      <c r="B189" s="91">
        <v>10</v>
      </c>
      <c r="C189" s="92" t="s">
        <v>300</v>
      </c>
      <c r="D189" s="92" t="s">
        <v>288</v>
      </c>
      <c r="E189" s="93"/>
      <c r="F189" s="93">
        <f>229777840-229777840</f>
        <v>0</v>
      </c>
      <c r="G189" s="93"/>
      <c r="H189" s="94" t="s">
        <v>306</v>
      </c>
      <c r="I189" s="76" t="s">
        <v>307</v>
      </c>
      <c r="J189" s="95">
        <v>4</v>
      </c>
      <c r="K189" s="152">
        <v>6</v>
      </c>
      <c r="L189" s="97">
        <v>6</v>
      </c>
      <c r="M189" s="91">
        <f t="shared" si="57"/>
        <v>1</v>
      </c>
      <c r="N189" s="98" t="s">
        <v>113</v>
      </c>
      <c r="O189" s="99" t="s">
        <v>114</v>
      </c>
      <c r="P189" s="100">
        <f t="shared" si="58"/>
        <v>1</v>
      </c>
      <c r="Q189" s="101">
        <f t="shared" si="59"/>
        <v>0</v>
      </c>
      <c r="R189" s="101">
        <f t="shared" si="60"/>
        <v>0</v>
      </c>
      <c r="S189" s="102" t="s">
        <v>56</v>
      </c>
      <c r="T189" s="98">
        <f t="shared" si="61"/>
        <v>0</v>
      </c>
      <c r="U189" s="27" t="str">
        <f t="shared" si="62"/>
        <v>SUBDIRECCION DE GESTION CONTRACTUAL</v>
      </c>
      <c r="V189" s="91" t="str">
        <f t="shared" si="63"/>
        <v>CO-DC</v>
      </c>
      <c r="W189" s="27" t="str">
        <f t="shared" si="64"/>
        <v>Distrito Capital de Bogotá</v>
      </c>
      <c r="X189" s="103" t="s">
        <v>293</v>
      </c>
      <c r="Y189" s="91">
        <v>2427400</v>
      </c>
      <c r="Z189" s="105" t="s">
        <v>294</v>
      </c>
    </row>
    <row r="190" spans="1:26" s="5" customFormat="1" ht="12.75" hidden="1" customHeight="1" x14ac:dyDescent="0.2">
      <c r="A190" s="90" t="s">
        <v>286</v>
      </c>
      <c r="B190" s="91">
        <v>11</v>
      </c>
      <c r="C190" s="92" t="s">
        <v>300</v>
      </c>
      <c r="D190" s="92" t="s">
        <v>288</v>
      </c>
      <c r="E190" s="93"/>
      <c r="F190" s="93">
        <f>150000000-50000000</f>
        <v>100000000</v>
      </c>
      <c r="G190" s="93"/>
      <c r="H190" s="104" t="s">
        <v>85</v>
      </c>
      <c r="I190" s="141" t="s">
        <v>308</v>
      </c>
      <c r="J190" s="104">
        <v>11</v>
      </c>
      <c r="K190" s="77">
        <v>11</v>
      </c>
      <c r="L190" s="77">
        <v>1</v>
      </c>
      <c r="M190" s="91">
        <f t="shared" si="57"/>
        <v>1</v>
      </c>
      <c r="N190" s="98" t="s">
        <v>87</v>
      </c>
      <c r="O190" s="99" t="s">
        <v>88</v>
      </c>
      <c r="P190" s="100">
        <f t="shared" si="58"/>
        <v>1</v>
      </c>
      <c r="Q190" s="101">
        <f t="shared" si="59"/>
        <v>100000000</v>
      </c>
      <c r="R190" s="101">
        <f t="shared" si="60"/>
        <v>100000000</v>
      </c>
      <c r="S190" s="102" t="s">
        <v>56</v>
      </c>
      <c r="T190" s="98">
        <f t="shared" si="61"/>
        <v>0</v>
      </c>
      <c r="U190" s="27" t="str">
        <f t="shared" si="62"/>
        <v>SUBDIRECCION DE GESTION CONTRACTUAL</v>
      </c>
      <c r="V190" s="91" t="str">
        <f t="shared" si="63"/>
        <v>CO-DC</v>
      </c>
      <c r="W190" s="27" t="str">
        <f t="shared" si="64"/>
        <v>Distrito Capital de Bogotá</v>
      </c>
      <c r="X190" s="129" t="s">
        <v>89</v>
      </c>
      <c r="Y190" s="103">
        <v>2427400</v>
      </c>
      <c r="Z190" s="86" t="s">
        <v>90</v>
      </c>
    </row>
    <row r="191" spans="1:26" s="5" customFormat="1" ht="12.75" hidden="1" customHeight="1" x14ac:dyDescent="0.2">
      <c r="A191" s="90" t="s">
        <v>309</v>
      </c>
      <c r="B191" s="91">
        <v>1</v>
      </c>
      <c r="C191" s="92" t="s">
        <v>310</v>
      </c>
      <c r="D191" s="92" t="s">
        <v>311</v>
      </c>
      <c r="E191" s="93"/>
      <c r="F191" s="93">
        <v>122000000</v>
      </c>
      <c r="G191" s="93"/>
      <c r="H191" s="94">
        <v>80111600</v>
      </c>
      <c r="I191" s="76" t="s">
        <v>312</v>
      </c>
      <c r="J191" s="95">
        <v>1</v>
      </c>
      <c r="K191" s="96">
        <v>1</v>
      </c>
      <c r="L191" s="97">
        <v>12</v>
      </c>
      <c r="M191" s="91">
        <f t="shared" si="57"/>
        <v>1</v>
      </c>
      <c r="N191" s="98" t="s">
        <v>54</v>
      </c>
      <c r="O191" s="99" t="s">
        <v>55</v>
      </c>
      <c r="P191" s="100">
        <f t="shared" si="58"/>
        <v>1</v>
      </c>
      <c r="Q191" s="101">
        <f t="shared" si="59"/>
        <v>122000000</v>
      </c>
      <c r="R191" s="101">
        <f t="shared" si="60"/>
        <v>122000000</v>
      </c>
      <c r="S191" s="102" t="s">
        <v>56</v>
      </c>
      <c r="T191" s="98">
        <f t="shared" si="61"/>
        <v>0</v>
      </c>
      <c r="U191" s="27" t="str">
        <f t="shared" si="62"/>
        <v>SUBDIRECCION DE GESTION CONTRACTUAL</v>
      </c>
      <c r="V191" s="91" t="str">
        <f t="shared" si="63"/>
        <v>CO-DC</v>
      </c>
      <c r="W191" s="27" t="str">
        <f t="shared" si="64"/>
        <v>Distrito Capital de Bogotá</v>
      </c>
      <c r="X191" s="103" t="s">
        <v>313</v>
      </c>
      <c r="Y191" s="91">
        <v>2427400</v>
      </c>
      <c r="Z191" s="105" t="s">
        <v>314</v>
      </c>
    </row>
    <row r="192" spans="1:26" s="5" customFormat="1" ht="12.75" hidden="1" customHeight="1" x14ac:dyDescent="0.2">
      <c r="A192" s="90" t="s">
        <v>309</v>
      </c>
      <c r="B192" s="91">
        <v>2</v>
      </c>
      <c r="C192" s="92" t="s">
        <v>310</v>
      </c>
      <c r="D192" s="92" t="s">
        <v>311</v>
      </c>
      <c r="E192" s="93"/>
      <c r="F192" s="93">
        <v>235000000</v>
      </c>
      <c r="G192" s="93"/>
      <c r="H192" s="94">
        <v>80111600</v>
      </c>
      <c r="I192" s="76" t="s">
        <v>312</v>
      </c>
      <c r="J192" s="95">
        <v>1</v>
      </c>
      <c r="K192" s="96">
        <v>1</v>
      </c>
      <c r="L192" s="97">
        <v>12</v>
      </c>
      <c r="M192" s="91">
        <f t="shared" si="57"/>
        <v>1</v>
      </c>
      <c r="N192" s="98" t="s">
        <v>54</v>
      </c>
      <c r="O192" s="99" t="s">
        <v>55</v>
      </c>
      <c r="P192" s="100">
        <f t="shared" si="58"/>
        <v>1</v>
      </c>
      <c r="Q192" s="101">
        <f t="shared" si="59"/>
        <v>235000000</v>
      </c>
      <c r="R192" s="101">
        <f t="shared" si="60"/>
        <v>235000000</v>
      </c>
      <c r="S192" s="102" t="s">
        <v>56</v>
      </c>
      <c r="T192" s="98">
        <f t="shared" si="61"/>
        <v>0</v>
      </c>
      <c r="U192" s="27" t="str">
        <f t="shared" si="62"/>
        <v>SUBDIRECCION DE GESTION CONTRACTUAL</v>
      </c>
      <c r="V192" s="91" t="str">
        <f t="shared" si="63"/>
        <v>CO-DC</v>
      </c>
      <c r="W192" s="27" t="str">
        <f t="shared" si="64"/>
        <v>Distrito Capital de Bogotá</v>
      </c>
      <c r="X192" s="103" t="s">
        <v>313</v>
      </c>
      <c r="Y192" s="91">
        <v>2427400</v>
      </c>
      <c r="Z192" s="105" t="s">
        <v>314</v>
      </c>
    </row>
    <row r="193" spans="1:26" s="5" customFormat="1" ht="12.75" hidden="1" customHeight="1" x14ac:dyDescent="0.2">
      <c r="A193" s="90" t="s">
        <v>309</v>
      </c>
      <c r="B193" s="91">
        <v>3</v>
      </c>
      <c r="C193" s="92" t="s">
        <v>315</v>
      </c>
      <c r="D193" s="92" t="s">
        <v>311</v>
      </c>
      <c r="E193" s="93"/>
      <c r="F193" s="93">
        <v>65000000</v>
      </c>
      <c r="G193" s="93"/>
      <c r="H193" s="94">
        <v>80111600</v>
      </c>
      <c r="I193" s="76" t="s">
        <v>312</v>
      </c>
      <c r="J193" s="95">
        <v>1</v>
      </c>
      <c r="K193" s="96">
        <v>1</v>
      </c>
      <c r="L193" s="97">
        <v>12</v>
      </c>
      <c r="M193" s="91">
        <f t="shared" si="57"/>
        <v>1</v>
      </c>
      <c r="N193" s="98" t="s">
        <v>54</v>
      </c>
      <c r="O193" s="99" t="s">
        <v>55</v>
      </c>
      <c r="P193" s="100">
        <f t="shared" si="58"/>
        <v>1</v>
      </c>
      <c r="Q193" s="101">
        <f t="shared" si="59"/>
        <v>65000000</v>
      </c>
      <c r="R193" s="101">
        <f t="shared" si="60"/>
        <v>65000000</v>
      </c>
      <c r="S193" s="102" t="s">
        <v>56</v>
      </c>
      <c r="T193" s="98">
        <f t="shared" si="61"/>
        <v>0</v>
      </c>
      <c r="U193" s="27" t="str">
        <f t="shared" si="62"/>
        <v>SUBDIRECCION DE GESTION CONTRACTUAL</v>
      </c>
      <c r="V193" s="91" t="str">
        <f t="shared" si="63"/>
        <v>CO-DC</v>
      </c>
      <c r="W193" s="27" t="str">
        <f t="shared" si="64"/>
        <v>Distrito Capital de Bogotá</v>
      </c>
      <c r="X193" s="103" t="s">
        <v>313</v>
      </c>
      <c r="Y193" s="91">
        <v>2427400</v>
      </c>
      <c r="Z193" s="105" t="s">
        <v>314</v>
      </c>
    </row>
    <row r="194" spans="1:26" s="5" customFormat="1" ht="12.75" hidden="1" customHeight="1" x14ac:dyDescent="0.2">
      <c r="A194" s="90" t="s">
        <v>309</v>
      </c>
      <c r="B194" s="91">
        <v>4</v>
      </c>
      <c r="C194" s="92" t="s">
        <v>316</v>
      </c>
      <c r="D194" s="92" t="s">
        <v>311</v>
      </c>
      <c r="E194" s="93"/>
      <c r="F194" s="93">
        <v>24500000</v>
      </c>
      <c r="G194" s="93"/>
      <c r="H194" s="94" t="s">
        <v>71</v>
      </c>
      <c r="I194" s="76" t="s">
        <v>317</v>
      </c>
      <c r="J194" s="95">
        <v>2</v>
      </c>
      <c r="K194" s="96">
        <v>3</v>
      </c>
      <c r="L194" s="97">
        <v>10</v>
      </c>
      <c r="M194" s="91">
        <f t="shared" si="57"/>
        <v>1</v>
      </c>
      <c r="N194" s="98" t="s">
        <v>64</v>
      </c>
      <c r="O194" s="99" t="s">
        <v>65</v>
      </c>
      <c r="P194" s="100">
        <f t="shared" si="58"/>
        <v>1</v>
      </c>
      <c r="Q194" s="101">
        <f t="shared" si="59"/>
        <v>24500000</v>
      </c>
      <c r="R194" s="101">
        <f t="shared" si="60"/>
        <v>24500000</v>
      </c>
      <c r="S194" s="102" t="s">
        <v>56</v>
      </c>
      <c r="T194" s="98">
        <f t="shared" si="61"/>
        <v>0</v>
      </c>
      <c r="U194" s="27" t="str">
        <f t="shared" si="62"/>
        <v>SUBDIRECCION DE GESTION CONTRACTUAL</v>
      </c>
      <c r="V194" s="91" t="str">
        <f t="shared" si="63"/>
        <v>CO-DC</v>
      </c>
      <c r="W194" s="27" t="str">
        <f t="shared" si="64"/>
        <v>Distrito Capital de Bogotá</v>
      </c>
      <c r="X194" s="103" t="s">
        <v>313</v>
      </c>
      <c r="Y194" s="91">
        <v>2427400</v>
      </c>
      <c r="Z194" s="105" t="s">
        <v>314</v>
      </c>
    </row>
    <row r="195" spans="1:26" s="5" customFormat="1" ht="12.75" hidden="1" customHeight="1" x14ac:dyDescent="0.2">
      <c r="A195" s="90" t="s">
        <v>309</v>
      </c>
      <c r="B195" s="91">
        <v>5</v>
      </c>
      <c r="C195" s="92" t="s">
        <v>316</v>
      </c>
      <c r="D195" s="92" t="s">
        <v>311</v>
      </c>
      <c r="E195" s="93"/>
      <c r="F195" s="93">
        <v>54500000</v>
      </c>
      <c r="G195" s="93"/>
      <c r="H195" s="94" t="s">
        <v>203</v>
      </c>
      <c r="I195" s="76" t="s">
        <v>318</v>
      </c>
      <c r="J195" s="95">
        <v>2</v>
      </c>
      <c r="K195" s="96">
        <v>2</v>
      </c>
      <c r="L195" s="97">
        <v>10</v>
      </c>
      <c r="M195" s="91">
        <f t="shared" si="57"/>
        <v>1</v>
      </c>
      <c r="N195" s="98" t="s">
        <v>64</v>
      </c>
      <c r="O195" s="99" t="s">
        <v>65</v>
      </c>
      <c r="P195" s="100">
        <f t="shared" si="58"/>
        <v>1</v>
      </c>
      <c r="Q195" s="101">
        <f t="shared" si="59"/>
        <v>54500000</v>
      </c>
      <c r="R195" s="101">
        <f t="shared" si="60"/>
        <v>54500000</v>
      </c>
      <c r="S195" s="102" t="s">
        <v>56</v>
      </c>
      <c r="T195" s="98">
        <f t="shared" si="61"/>
        <v>0</v>
      </c>
      <c r="U195" s="27" t="str">
        <f t="shared" si="62"/>
        <v>SUBDIRECCION DE GESTION CONTRACTUAL</v>
      </c>
      <c r="V195" s="91" t="str">
        <f t="shared" si="63"/>
        <v>CO-DC</v>
      </c>
      <c r="W195" s="27" t="str">
        <f t="shared" si="64"/>
        <v>Distrito Capital de Bogotá</v>
      </c>
      <c r="X195" s="103" t="s">
        <v>121</v>
      </c>
      <c r="Y195" s="91">
        <v>2427400</v>
      </c>
      <c r="Z195" s="105" t="s">
        <v>122</v>
      </c>
    </row>
    <row r="196" spans="1:26" s="5" customFormat="1" ht="12.75" hidden="1" customHeight="1" x14ac:dyDescent="0.2">
      <c r="A196" s="90" t="s">
        <v>309</v>
      </c>
      <c r="B196" s="91">
        <v>6</v>
      </c>
      <c r="C196" s="92" t="s">
        <v>316</v>
      </c>
      <c r="D196" s="92" t="s">
        <v>311</v>
      </c>
      <c r="E196" s="93"/>
      <c r="F196" s="93">
        <f>390000000-24500000-54500000-96000000-215000000</f>
        <v>0</v>
      </c>
      <c r="G196" s="93"/>
      <c r="H196" s="94" t="s">
        <v>67</v>
      </c>
      <c r="I196" s="76" t="s">
        <v>319</v>
      </c>
      <c r="J196" s="95">
        <v>2</v>
      </c>
      <c r="K196" s="96">
        <v>3</v>
      </c>
      <c r="L196" s="97">
        <v>9</v>
      </c>
      <c r="M196" s="91">
        <f t="shared" si="57"/>
        <v>1</v>
      </c>
      <c r="N196" s="98" t="s">
        <v>69</v>
      </c>
      <c r="O196" s="99" t="s">
        <v>70</v>
      </c>
      <c r="P196" s="100">
        <f t="shared" si="58"/>
        <v>1</v>
      </c>
      <c r="Q196" s="101">
        <f t="shared" si="59"/>
        <v>0</v>
      </c>
      <c r="R196" s="101">
        <f t="shared" si="60"/>
        <v>0</v>
      </c>
      <c r="S196" s="102" t="s">
        <v>56</v>
      </c>
      <c r="T196" s="98">
        <f t="shared" si="61"/>
        <v>0</v>
      </c>
      <c r="U196" s="27" t="str">
        <f t="shared" si="62"/>
        <v>SUBDIRECCION DE GESTION CONTRACTUAL</v>
      </c>
      <c r="V196" s="91" t="str">
        <f t="shared" si="63"/>
        <v>CO-DC</v>
      </c>
      <c r="W196" s="27" t="str">
        <f t="shared" si="64"/>
        <v>Distrito Capital de Bogotá</v>
      </c>
      <c r="X196" s="103" t="s">
        <v>313</v>
      </c>
      <c r="Y196" s="91">
        <v>2427400</v>
      </c>
      <c r="Z196" s="105" t="s">
        <v>314</v>
      </c>
    </row>
    <row r="197" spans="1:26" s="5" customFormat="1" ht="12.75" hidden="1" customHeight="1" x14ac:dyDescent="0.2">
      <c r="A197" s="90" t="s">
        <v>309</v>
      </c>
      <c r="B197" s="91">
        <v>7</v>
      </c>
      <c r="C197" s="92" t="s">
        <v>316</v>
      </c>
      <c r="D197" s="92" t="s">
        <v>311</v>
      </c>
      <c r="E197" s="93"/>
      <c r="F197" s="93">
        <v>170000000</v>
      </c>
      <c r="G197" s="93"/>
      <c r="H197" s="94">
        <v>80111600</v>
      </c>
      <c r="I197" s="76" t="s">
        <v>312</v>
      </c>
      <c r="J197" s="95">
        <v>1</v>
      </c>
      <c r="K197" s="96">
        <v>1</v>
      </c>
      <c r="L197" s="97">
        <v>12</v>
      </c>
      <c r="M197" s="91">
        <f t="shared" si="57"/>
        <v>1</v>
      </c>
      <c r="N197" s="98" t="s">
        <v>54</v>
      </c>
      <c r="O197" s="99" t="s">
        <v>55</v>
      </c>
      <c r="P197" s="100">
        <f t="shared" si="58"/>
        <v>1</v>
      </c>
      <c r="Q197" s="101">
        <f t="shared" si="59"/>
        <v>170000000</v>
      </c>
      <c r="R197" s="101">
        <f t="shared" si="60"/>
        <v>170000000</v>
      </c>
      <c r="S197" s="102" t="s">
        <v>56</v>
      </c>
      <c r="T197" s="98">
        <f t="shared" si="61"/>
        <v>0</v>
      </c>
      <c r="U197" s="27" t="str">
        <f t="shared" si="62"/>
        <v>SUBDIRECCION DE GESTION CONTRACTUAL</v>
      </c>
      <c r="V197" s="91" t="str">
        <f t="shared" si="63"/>
        <v>CO-DC</v>
      </c>
      <c r="W197" s="27" t="str">
        <f t="shared" si="64"/>
        <v>Distrito Capital de Bogotá</v>
      </c>
      <c r="X197" s="103" t="s">
        <v>313</v>
      </c>
      <c r="Y197" s="91">
        <v>2427400</v>
      </c>
      <c r="Z197" s="105" t="s">
        <v>314</v>
      </c>
    </row>
    <row r="198" spans="1:26" s="5" customFormat="1" ht="12.75" hidden="1" customHeight="1" x14ac:dyDescent="0.2">
      <c r="A198" s="90" t="s">
        <v>309</v>
      </c>
      <c r="B198" s="91">
        <v>8</v>
      </c>
      <c r="C198" s="92" t="s">
        <v>316</v>
      </c>
      <c r="D198" s="92" t="s">
        <v>311</v>
      </c>
      <c r="E198" s="93">
        <v>43196200</v>
      </c>
      <c r="F198" s="93">
        <f>96000000-E198</f>
        <v>52803800</v>
      </c>
      <c r="G198" s="93"/>
      <c r="H198" s="94" t="s">
        <v>59</v>
      </c>
      <c r="I198" s="76" t="s">
        <v>320</v>
      </c>
      <c r="J198" s="95">
        <v>3</v>
      </c>
      <c r="K198" s="96">
        <v>4</v>
      </c>
      <c r="L198" s="97">
        <v>9</v>
      </c>
      <c r="M198" s="91">
        <f t="shared" si="57"/>
        <v>1</v>
      </c>
      <c r="N198" s="98" t="s">
        <v>61</v>
      </c>
      <c r="O198" s="99" t="s">
        <v>62</v>
      </c>
      <c r="P198" s="100">
        <f t="shared" si="58"/>
        <v>1</v>
      </c>
      <c r="Q198" s="101">
        <f t="shared" si="59"/>
        <v>96000000</v>
      </c>
      <c r="R198" s="101">
        <f t="shared" si="60"/>
        <v>52803800</v>
      </c>
      <c r="S198" s="102" t="s">
        <v>56</v>
      </c>
      <c r="T198" s="98">
        <f t="shared" si="61"/>
        <v>0</v>
      </c>
      <c r="U198" s="27" t="str">
        <f t="shared" si="62"/>
        <v>SUBDIRECCION DE GESTION CONTRACTUAL</v>
      </c>
      <c r="V198" s="91" t="str">
        <f t="shared" si="63"/>
        <v>CO-DC</v>
      </c>
      <c r="W198" s="27" t="str">
        <f t="shared" si="64"/>
        <v>Distrito Capital de Bogotá</v>
      </c>
      <c r="X198" s="103" t="s">
        <v>313</v>
      </c>
      <c r="Y198" s="91">
        <v>2427400</v>
      </c>
      <c r="Z198" s="105" t="s">
        <v>314</v>
      </c>
    </row>
    <row r="199" spans="1:26" s="5" customFormat="1" ht="12.75" hidden="1" customHeight="1" x14ac:dyDescent="0.2">
      <c r="A199" s="90" t="s">
        <v>309</v>
      </c>
      <c r="B199" s="91">
        <v>9</v>
      </c>
      <c r="C199" s="92" t="s">
        <v>321</v>
      </c>
      <c r="D199" s="92" t="s">
        <v>311</v>
      </c>
      <c r="E199" s="93"/>
      <c r="F199" s="93">
        <v>355000000</v>
      </c>
      <c r="G199" s="93"/>
      <c r="H199" s="94" t="s">
        <v>322</v>
      </c>
      <c r="I199" s="76" t="s">
        <v>323</v>
      </c>
      <c r="J199" s="95">
        <v>5</v>
      </c>
      <c r="K199" s="95">
        <v>5</v>
      </c>
      <c r="L199" s="97">
        <v>7</v>
      </c>
      <c r="M199" s="91">
        <f t="shared" si="57"/>
        <v>1</v>
      </c>
      <c r="N199" s="98" t="s">
        <v>64</v>
      </c>
      <c r="O199" s="99" t="s">
        <v>65</v>
      </c>
      <c r="P199" s="100">
        <f t="shared" si="58"/>
        <v>1</v>
      </c>
      <c r="Q199" s="101">
        <f t="shared" si="59"/>
        <v>355000000</v>
      </c>
      <c r="R199" s="101">
        <f t="shared" si="60"/>
        <v>355000000</v>
      </c>
      <c r="S199" s="102" t="s">
        <v>56</v>
      </c>
      <c r="T199" s="98">
        <f t="shared" si="61"/>
        <v>0</v>
      </c>
      <c r="U199" s="27" t="str">
        <f t="shared" si="62"/>
        <v>SUBDIRECCION DE GESTION CONTRACTUAL</v>
      </c>
      <c r="V199" s="91" t="str">
        <f t="shared" si="63"/>
        <v>CO-DC</v>
      </c>
      <c r="W199" s="27" t="str">
        <f t="shared" si="64"/>
        <v>Distrito Capital de Bogotá</v>
      </c>
      <c r="X199" s="103" t="s">
        <v>313</v>
      </c>
      <c r="Y199" s="91">
        <v>2427400</v>
      </c>
      <c r="Z199" s="105" t="s">
        <v>314</v>
      </c>
    </row>
    <row r="200" spans="1:26" s="5" customFormat="1" ht="12.75" hidden="1" customHeight="1" x14ac:dyDescent="0.2">
      <c r="A200" s="90" t="s">
        <v>309</v>
      </c>
      <c r="B200" s="91">
        <v>10</v>
      </c>
      <c r="C200" s="92" t="s">
        <v>321</v>
      </c>
      <c r="D200" s="92" t="s">
        <v>324</v>
      </c>
      <c r="E200" s="93"/>
      <c r="F200" s="93">
        <f>950000000-100000000</f>
        <v>850000000</v>
      </c>
      <c r="G200" s="93"/>
      <c r="H200" s="94" t="s">
        <v>322</v>
      </c>
      <c r="I200" s="76" t="s">
        <v>323</v>
      </c>
      <c r="J200" s="95">
        <v>5</v>
      </c>
      <c r="K200" s="95">
        <v>5</v>
      </c>
      <c r="L200" s="97">
        <v>7</v>
      </c>
      <c r="M200" s="91">
        <f t="shared" si="57"/>
        <v>1</v>
      </c>
      <c r="N200" s="98" t="s">
        <v>64</v>
      </c>
      <c r="O200" s="99" t="s">
        <v>65</v>
      </c>
      <c r="P200" s="100">
        <f t="shared" si="58"/>
        <v>1</v>
      </c>
      <c r="Q200" s="101">
        <f t="shared" si="59"/>
        <v>850000000</v>
      </c>
      <c r="R200" s="101">
        <f t="shared" si="60"/>
        <v>850000000</v>
      </c>
      <c r="S200" s="102" t="s">
        <v>56</v>
      </c>
      <c r="T200" s="98">
        <f t="shared" si="61"/>
        <v>0</v>
      </c>
      <c r="U200" s="27" t="str">
        <f t="shared" si="62"/>
        <v>SUBDIRECCION DE GESTION CONTRACTUAL</v>
      </c>
      <c r="V200" s="91" t="str">
        <f t="shared" si="63"/>
        <v>CO-DC</v>
      </c>
      <c r="W200" s="27" t="str">
        <f t="shared" si="64"/>
        <v>Distrito Capital de Bogotá</v>
      </c>
      <c r="X200" s="103" t="s">
        <v>313</v>
      </c>
      <c r="Y200" s="91">
        <v>2427400</v>
      </c>
      <c r="Z200" s="105" t="s">
        <v>314</v>
      </c>
    </row>
    <row r="201" spans="1:26" s="5" customFormat="1" ht="12.75" hidden="1" customHeight="1" x14ac:dyDescent="0.2">
      <c r="A201" s="90" t="s">
        <v>309</v>
      </c>
      <c r="B201" s="91">
        <v>11</v>
      </c>
      <c r="C201" s="92" t="s">
        <v>325</v>
      </c>
      <c r="D201" s="92" t="s">
        <v>324</v>
      </c>
      <c r="E201" s="93"/>
      <c r="F201" s="93">
        <v>168150363</v>
      </c>
      <c r="G201" s="93"/>
      <c r="H201" s="94" t="s">
        <v>322</v>
      </c>
      <c r="I201" s="76" t="s">
        <v>323</v>
      </c>
      <c r="J201" s="95">
        <v>5</v>
      </c>
      <c r="K201" s="95">
        <v>5</v>
      </c>
      <c r="L201" s="97">
        <v>7</v>
      </c>
      <c r="M201" s="91">
        <f t="shared" si="57"/>
        <v>1</v>
      </c>
      <c r="N201" s="98" t="s">
        <v>64</v>
      </c>
      <c r="O201" s="99" t="s">
        <v>65</v>
      </c>
      <c r="P201" s="100">
        <f t="shared" si="58"/>
        <v>1</v>
      </c>
      <c r="Q201" s="101">
        <f t="shared" si="59"/>
        <v>168150363</v>
      </c>
      <c r="R201" s="101">
        <f t="shared" si="60"/>
        <v>168150363</v>
      </c>
      <c r="S201" s="102" t="s">
        <v>56</v>
      </c>
      <c r="T201" s="98">
        <f t="shared" si="61"/>
        <v>0</v>
      </c>
      <c r="U201" s="27" t="str">
        <f t="shared" si="62"/>
        <v>SUBDIRECCION DE GESTION CONTRACTUAL</v>
      </c>
      <c r="V201" s="91" t="str">
        <f t="shared" si="63"/>
        <v>CO-DC</v>
      </c>
      <c r="W201" s="27" t="str">
        <f t="shared" si="64"/>
        <v>Distrito Capital de Bogotá</v>
      </c>
      <c r="X201" s="103" t="s">
        <v>313</v>
      </c>
      <c r="Y201" s="91">
        <v>2427400</v>
      </c>
      <c r="Z201" s="105" t="s">
        <v>314</v>
      </c>
    </row>
    <row r="202" spans="1:26" s="5" customFormat="1" ht="12.75" hidden="1" customHeight="1" x14ac:dyDescent="0.2">
      <c r="A202" s="90" t="s">
        <v>309</v>
      </c>
      <c r="B202" s="91">
        <v>12</v>
      </c>
      <c r="C202" s="92" t="s">
        <v>325</v>
      </c>
      <c r="D202" s="92" t="s">
        <v>311</v>
      </c>
      <c r="E202" s="93"/>
      <c r="F202" s="93">
        <v>97800000</v>
      </c>
      <c r="G202" s="93"/>
      <c r="H202" s="94">
        <v>80111600</v>
      </c>
      <c r="I202" s="76" t="s">
        <v>312</v>
      </c>
      <c r="J202" s="95">
        <v>1</v>
      </c>
      <c r="K202" s="96">
        <v>1</v>
      </c>
      <c r="L202" s="97">
        <v>12</v>
      </c>
      <c r="M202" s="91">
        <f t="shared" si="57"/>
        <v>1</v>
      </c>
      <c r="N202" s="98" t="s">
        <v>54</v>
      </c>
      <c r="O202" s="99" t="s">
        <v>55</v>
      </c>
      <c r="P202" s="100">
        <f t="shared" si="58"/>
        <v>1</v>
      </c>
      <c r="Q202" s="101">
        <f t="shared" si="59"/>
        <v>97800000</v>
      </c>
      <c r="R202" s="101">
        <f t="shared" si="60"/>
        <v>97800000</v>
      </c>
      <c r="S202" s="102" t="s">
        <v>56</v>
      </c>
      <c r="T202" s="98">
        <f t="shared" si="61"/>
        <v>0</v>
      </c>
      <c r="U202" s="27" t="str">
        <f t="shared" si="62"/>
        <v>SUBDIRECCION DE GESTION CONTRACTUAL</v>
      </c>
      <c r="V202" s="91" t="str">
        <f t="shared" si="63"/>
        <v>CO-DC</v>
      </c>
      <c r="W202" s="27" t="str">
        <f t="shared" si="64"/>
        <v>Distrito Capital de Bogotá</v>
      </c>
      <c r="X202" s="103" t="s">
        <v>313</v>
      </c>
      <c r="Y202" s="91">
        <v>2427400</v>
      </c>
      <c r="Z202" s="105" t="s">
        <v>314</v>
      </c>
    </row>
    <row r="203" spans="1:26" s="5" customFormat="1" ht="12.75" hidden="1" customHeight="1" x14ac:dyDescent="0.2">
      <c r="A203" s="90" t="s">
        <v>309</v>
      </c>
      <c r="B203" s="91">
        <v>13</v>
      </c>
      <c r="C203" s="92" t="s">
        <v>325</v>
      </c>
      <c r="D203" s="92" t="s">
        <v>324</v>
      </c>
      <c r="E203" s="93"/>
      <c r="F203" s="93">
        <f>206849637+131000000</f>
        <v>337849637</v>
      </c>
      <c r="G203" s="93"/>
      <c r="H203" s="94">
        <v>80111600</v>
      </c>
      <c r="I203" s="76" t="s">
        <v>312</v>
      </c>
      <c r="J203" s="95">
        <v>1</v>
      </c>
      <c r="K203" s="96">
        <v>1</v>
      </c>
      <c r="L203" s="97">
        <v>12</v>
      </c>
      <c r="M203" s="91">
        <f t="shared" si="57"/>
        <v>1</v>
      </c>
      <c r="N203" s="98" t="s">
        <v>54</v>
      </c>
      <c r="O203" s="99" t="s">
        <v>55</v>
      </c>
      <c r="P203" s="100">
        <f t="shared" si="58"/>
        <v>1</v>
      </c>
      <c r="Q203" s="101">
        <f t="shared" si="59"/>
        <v>337849637</v>
      </c>
      <c r="R203" s="101">
        <f t="shared" si="60"/>
        <v>337849637</v>
      </c>
      <c r="S203" s="102" t="s">
        <v>56</v>
      </c>
      <c r="T203" s="98">
        <f t="shared" si="61"/>
        <v>0</v>
      </c>
      <c r="U203" s="27" t="str">
        <f t="shared" si="62"/>
        <v>SUBDIRECCION DE GESTION CONTRACTUAL</v>
      </c>
      <c r="V203" s="91" t="str">
        <f t="shared" si="63"/>
        <v>CO-DC</v>
      </c>
      <c r="W203" s="27" t="str">
        <f t="shared" si="64"/>
        <v>Distrito Capital de Bogotá</v>
      </c>
      <c r="X203" s="103" t="s">
        <v>313</v>
      </c>
      <c r="Y203" s="91">
        <v>2427400</v>
      </c>
      <c r="Z203" s="105" t="s">
        <v>314</v>
      </c>
    </row>
    <row r="204" spans="1:26" s="5" customFormat="1" ht="12.75" hidden="1" customHeight="1" x14ac:dyDescent="0.2">
      <c r="A204" s="90" t="s">
        <v>309</v>
      </c>
      <c r="B204" s="91">
        <v>14</v>
      </c>
      <c r="C204" s="92" t="s">
        <v>326</v>
      </c>
      <c r="D204" s="92" t="s">
        <v>324</v>
      </c>
      <c r="E204" s="93"/>
      <c r="F204" s="93">
        <v>288256034</v>
      </c>
      <c r="G204" s="93"/>
      <c r="H204" s="94" t="s">
        <v>67</v>
      </c>
      <c r="I204" s="76" t="s">
        <v>319</v>
      </c>
      <c r="J204" s="95">
        <v>2</v>
      </c>
      <c r="K204" s="96">
        <v>3</v>
      </c>
      <c r="L204" s="97">
        <v>9</v>
      </c>
      <c r="M204" s="91">
        <f t="shared" si="57"/>
        <v>1</v>
      </c>
      <c r="N204" s="98" t="s">
        <v>69</v>
      </c>
      <c r="O204" s="99" t="s">
        <v>70</v>
      </c>
      <c r="P204" s="100">
        <f t="shared" si="58"/>
        <v>1</v>
      </c>
      <c r="Q204" s="101">
        <f t="shared" si="59"/>
        <v>288256034</v>
      </c>
      <c r="R204" s="101">
        <f t="shared" si="60"/>
        <v>288256034</v>
      </c>
      <c r="S204" s="102" t="s">
        <v>56</v>
      </c>
      <c r="T204" s="98">
        <f t="shared" si="61"/>
        <v>0</v>
      </c>
      <c r="U204" s="27" t="str">
        <f t="shared" si="62"/>
        <v>SUBDIRECCION DE GESTION CONTRACTUAL</v>
      </c>
      <c r="V204" s="91" t="str">
        <f t="shared" si="63"/>
        <v>CO-DC</v>
      </c>
      <c r="W204" s="27" t="str">
        <f t="shared" si="64"/>
        <v>Distrito Capital de Bogotá</v>
      </c>
      <c r="X204" s="103" t="s">
        <v>313</v>
      </c>
      <c r="Y204" s="91">
        <v>2427400</v>
      </c>
      <c r="Z204" s="105" t="s">
        <v>314</v>
      </c>
    </row>
    <row r="205" spans="1:26" s="62" customFormat="1" ht="15" hidden="1" customHeight="1" x14ac:dyDescent="0.2">
      <c r="A205" s="90" t="s">
        <v>309</v>
      </c>
      <c r="B205" s="91">
        <v>15</v>
      </c>
      <c r="C205" s="92" t="s">
        <v>326</v>
      </c>
      <c r="D205" s="92" t="s">
        <v>324</v>
      </c>
      <c r="E205" s="93"/>
      <c r="F205" s="93">
        <v>261743966</v>
      </c>
      <c r="G205" s="93"/>
      <c r="H205" s="94">
        <v>80111600</v>
      </c>
      <c r="I205" s="76" t="s">
        <v>312</v>
      </c>
      <c r="J205" s="95">
        <v>1</v>
      </c>
      <c r="K205" s="96">
        <v>1</v>
      </c>
      <c r="L205" s="97">
        <v>12</v>
      </c>
      <c r="M205" s="91">
        <f t="shared" si="57"/>
        <v>1</v>
      </c>
      <c r="N205" s="98" t="s">
        <v>54</v>
      </c>
      <c r="O205" s="99" t="s">
        <v>55</v>
      </c>
      <c r="P205" s="100">
        <f t="shared" si="58"/>
        <v>1</v>
      </c>
      <c r="Q205" s="101">
        <f t="shared" si="59"/>
        <v>261743966</v>
      </c>
      <c r="R205" s="101">
        <f t="shared" si="60"/>
        <v>261743966</v>
      </c>
      <c r="S205" s="102" t="s">
        <v>56</v>
      </c>
      <c r="T205" s="98">
        <f t="shared" si="61"/>
        <v>0</v>
      </c>
      <c r="U205" s="27" t="str">
        <f t="shared" si="62"/>
        <v>SUBDIRECCION DE GESTION CONTRACTUAL</v>
      </c>
      <c r="V205" s="91" t="str">
        <f t="shared" si="63"/>
        <v>CO-DC</v>
      </c>
      <c r="W205" s="27" t="str">
        <f t="shared" si="64"/>
        <v>Distrito Capital de Bogotá</v>
      </c>
      <c r="X205" s="103" t="s">
        <v>313</v>
      </c>
      <c r="Y205" s="91">
        <v>2427400</v>
      </c>
      <c r="Z205" s="105" t="s">
        <v>314</v>
      </c>
    </row>
    <row r="206" spans="1:26" s="5" customFormat="1" ht="12.75" hidden="1" customHeight="1" x14ac:dyDescent="0.2">
      <c r="A206" s="90" t="s">
        <v>309</v>
      </c>
      <c r="B206" s="91">
        <v>16</v>
      </c>
      <c r="C206" s="92" t="s">
        <v>327</v>
      </c>
      <c r="D206" s="92" t="s">
        <v>324</v>
      </c>
      <c r="E206" s="93"/>
      <c r="F206" s="93">
        <f>144000000-94000000</f>
        <v>50000000</v>
      </c>
      <c r="G206" s="93"/>
      <c r="H206" s="94">
        <v>80111600</v>
      </c>
      <c r="I206" s="76" t="s">
        <v>312</v>
      </c>
      <c r="J206" s="95">
        <v>8</v>
      </c>
      <c r="K206" s="96">
        <v>8</v>
      </c>
      <c r="L206" s="97">
        <v>4</v>
      </c>
      <c r="M206" s="91">
        <f t="shared" si="57"/>
        <v>1</v>
      </c>
      <c r="N206" s="98" t="s">
        <v>54</v>
      </c>
      <c r="O206" s="153" t="s">
        <v>55</v>
      </c>
      <c r="P206" s="100">
        <f t="shared" si="58"/>
        <v>1</v>
      </c>
      <c r="Q206" s="101">
        <f t="shared" si="59"/>
        <v>50000000</v>
      </c>
      <c r="R206" s="101">
        <f t="shared" si="60"/>
        <v>50000000</v>
      </c>
      <c r="S206" s="102" t="s">
        <v>56</v>
      </c>
      <c r="T206" s="98">
        <f t="shared" si="61"/>
        <v>0</v>
      </c>
      <c r="U206" s="27" t="str">
        <f t="shared" si="62"/>
        <v>SUBDIRECCION DE GESTION CONTRACTUAL</v>
      </c>
      <c r="V206" s="91" t="str">
        <f t="shared" si="63"/>
        <v>CO-DC</v>
      </c>
      <c r="W206" s="27" t="str">
        <f t="shared" si="64"/>
        <v>Distrito Capital de Bogotá</v>
      </c>
      <c r="X206" s="103" t="s">
        <v>313</v>
      </c>
      <c r="Y206" s="91">
        <v>2427400</v>
      </c>
      <c r="Z206" s="105" t="s">
        <v>314</v>
      </c>
    </row>
    <row r="207" spans="1:26" s="5" customFormat="1" ht="12.75" hidden="1" customHeight="1" x14ac:dyDescent="0.2">
      <c r="A207" s="90" t="s">
        <v>309</v>
      </c>
      <c r="B207" s="91">
        <v>17</v>
      </c>
      <c r="C207" s="92" t="s">
        <v>327</v>
      </c>
      <c r="D207" s="92" t="s">
        <v>324</v>
      </c>
      <c r="E207" s="93"/>
      <c r="F207" s="93">
        <v>50000000</v>
      </c>
      <c r="G207" s="93"/>
      <c r="H207" s="94" t="s">
        <v>91</v>
      </c>
      <c r="I207" s="76" t="s">
        <v>328</v>
      </c>
      <c r="J207" s="104">
        <v>11</v>
      </c>
      <c r="K207" s="104">
        <v>11</v>
      </c>
      <c r="L207" s="97">
        <v>2</v>
      </c>
      <c r="M207" s="91">
        <f t="shared" si="57"/>
        <v>1</v>
      </c>
      <c r="N207" s="98" t="s">
        <v>87</v>
      </c>
      <c r="O207" s="99" t="s">
        <v>88</v>
      </c>
      <c r="P207" s="100">
        <f t="shared" si="58"/>
        <v>1</v>
      </c>
      <c r="Q207" s="101">
        <f t="shared" si="59"/>
        <v>50000000</v>
      </c>
      <c r="R207" s="101">
        <f t="shared" si="60"/>
        <v>50000000</v>
      </c>
      <c r="S207" s="102" t="s">
        <v>56</v>
      </c>
      <c r="T207" s="98">
        <f t="shared" si="61"/>
        <v>0</v>
      </c>
      <c r="U207" s="27" t="str">
        <f t="shared" si="62"/>
        <v>SUBDIRECCION DE GESTION CONTRACTUAL</v>
      </c>
      <c r="V207" s="91" t="str">
        <f t="shared" si="63"/>
        <v>CO-DC</v>
      </c>
      <c r="W207" s="27" t="str">
        <f t="shared" si="64"/>
        <v>Distrito Capital de Bogotá</v>
      </c>
      <c r="X207" s="103" t="s">
        <v>329</v>
      </c>
      <c r="Y207" s="91">
        <v>2427400</v>
      </c>
      <c r="Z207" s="105" t="s">
        <v>330</v>
      </c>
    </row>
    <row r="208" spans="1:26" s="5" customFormat="1" ht="12.75" hidden="1" customHeight="1" x14ac:dyDescent="0.2">
      <c r="A208" s="90" t="s">
        <v>309</v>
      </c>
      <c r="B208" s="91">
        <v>18</v>
      </c>
      <c r="C208" s="92" t="s">
        <v>327</v>
      </c>
      <c r="D208" s="92" t="s">
        <v>324</v>
      </c>
      <c r="E208" s="93"/>
      <c r="F208" s="93">
        <v>15000000</v>
      </c>
      <c r="G208" s="93"/>
      <c r="H208" s="94" t="s">
        <v>331</v>
      </c>
      <c r="I208" s="76" t="s">
        <v>332</v>
      </c>
      <c r="J208" s="95">
        <v>10</v>
      </c>
      <c r="K208" s="95">
        <v>10</v>
      </c>
      <c r="L208" s="97">
        <v>1</v>
      </c>
      <c r="M208" s="91">
        <f t="shared" si="57"/>
        <v>1</v>
      </c>
      <c r="N208" s="98" t="s">
        <v>100</v>
      </c>
      <c r="O208" s="154" t="s">
        <v>333</v>
      </c>
      <c r="P208" s="100">
        <f t="shared" si="58"/>
        <v>1</v>
      </c>
      <c r="Q208" s="101">
        <f t="shared" si="59"/>
        <v>15000000</v>
      </c>
      <c r="R208" s="101">
        <f t="shared" si="60"/>
        <v>15000000</v>
      </c>
      <c r="S208" s="102" t="s">
        <v>56</v>
      </c>
      <c r="T208" s="98">
        <f t="shared" si="61"/>
        <v>0</v>
      </c>
      <c r="U208" s="27" t="str">
        <f t="shared" si="62"/>
        <v>SUBDIRECCION DE GESTION CONTRACTUAL</v>
      </c>
      <c r="V208" s="91" t="str">
        <f t="shared" si="63"/>
        <v>CO-DC</v>
      </c>
      <c r="W208" s="27" t="str">
        <f t="shared" si="64"/>
        <v>Distrito Capital de Bogotá</v>
      </c>
      <c r="X208" s="103" t="s">
        <v>196</v>
      </c>
      <c r="Y208" s="91">
        <v>2427400</v>
      </c>
      <c r="Z208" s="105" t="s">
        <v>197</v>
      </c>
    </row>
    <row r="209" spans="1:26" s="5" customFormat="1" ht="12.75" hidden="1" customHeight="1" x14ac:dyDescent="0.2">
      <c r="A209" s="90" t="s">
        <v>309</v>
      </c>
      <c r="B209" s="91">
        <v>19</v>
      </c>
      <c r="C209" s="92" t="s">
        <v>327</v>
      </c>
      <c r="D209" s="92" t="s">
        <v>324</v>
      </c>
      <c r="E209" s="93"/>
      <c r="F209" s="93">
        <f>847246000-32700000-10000000-5000000-17300000</f>
        <v>782246000</v>
      </c>
      <c r="G209" s="93"/>
      <c r="H209" s="94" t="s">
        <v>322</v>
      </c>
      <c r="I209" s="76" t="s">
        <v>323</v>
      </c>
      <c r="J209" s="95">
        <v>5</v>
      </c>
      <c r="K209" s="95">
        <v>5</v>
      </c>
      <c r="L209" s="97">
        <v>7</v>
      </c>
      <c r="M209" s="91">
        <f t="shared" si="57"/>
        <v>1</v>
      </c>
      <c r="N209" s="98" t="s">
        <v>64</v>
      </c>
      <c r="O209" s="99" t="s">
        <v>65</v>
      </c>
      <c r="P209" s="100">
        <f t="shared" si="58"/>
        <v>1</v>
      </c>
      <c r="Q209" s="101">
        <f t="shared" si="59"/>
        <v>782246000</v>
      </c>
      <c r="R209" s="101">
        <f t="shared" si="60"/>
        <v>782246000</v>
      </c>
      <c r="S209" s="102" t="s">
        <v>56</v>
      </c>
      <c r="T209" s="98">
        <f t="shared" si="61"/>
        <v>0</v>
      </c>
      <c r="U209" s="27" t="str">
        <f t="shared" si="62"/>
        <v>SUBDIRECCION DE GESTION CONTRACTUAL</v>
      </c>
      <c r="V209" s="91" t="str">
        <f t="shared" si="63"/>
        <v>CO-DC</v>
      </c>
      <c r="W209" s="27" t="str">
        <f t="shared" si="64"/>
        <v>Distrito Capital de Bogotá</v>
      </c>
      <c r="X209" s="103" t="s">
        <v>313</v>
      </c>
      <c r="Y209" s="91">
        <v>2427400</v>
      </c>
      <c r="Z209" s="105" t="s">
        <v>314</v>
      </c>
    </row>
    <row r="210" spans="1:26" s="5" customFormat="1" ht="12.75" hidden="1" customHeight="1" x14ac:dyDescent="0.2">
      <c r="A210" s="155" t="s">
        <v>309</v>
      </c>
      <c r="B210" s="127">
        <v>20</v>
      </c>
      <c r="C210" s="92" t="s">
        <v>327</v>
      </c>
      <c r="D210" s="92" t="s">
        <v>324</v>
      </c>
      <c r="E210" s="156"/>
      <c r="F210" s="93">
        <f>144000000-50000000-29976810</f>
        <v>64023190</v>
      </c>
      <c r="G210" s="156"/>
      <c r="H210" s="157" t="s">
        <v>67</v>
      </c>
      <c r="I210" s="76" t="s">
        <v>334</v>
      </c>
      <c r="J210" s="95">
        <v>2</v>
      </c>
      <c r="K210" s="96">
        <v>3</v>
      </c>
      <c r="L210" s="97">
        <v>9</v>
      </c>
      <c r="M210" s="158">
        <f t="shared" si="57"/>
        <v>1</v>
      </c>
      <c r="N210" s="127" t="s">
        <v>69</v>
      </c>
      <c r="O210" s="154" t="s">
        <v>70</v>
      </c>
      <c r="P210" s="159">
        <f t="shared" si="58"/>
        <v>1</v>
      </c>
      <c r="Q210" s="101">
        <f>IF(VALUE(E210+F210+G210)=0,"",E210+F210+G210)</f>
        <v>64023190</v>
      </c>
      <c r="R210" s="101">
        <f>IF(VALUE(F210)=0,"",F210)</f>
        <v>64023190</v>
      </c>
      <c r="S210" s="160" t="s">
        <v>56</v>
      </c>
      <c r="T210" s="161">
        <f t="shared" si="61"/>
        <v>0</v>
      </c>
      <c r="U210" s="153" t="str">
        <f t="shared" si="62"/>
        <v>SUBDIRECCION DE GESTION CONTRACTUAL</v>
      </c>
      <c r="V210" s="161" t="str">
        <f t="shared" si="63"/>
        <v>CO-DC</v>
      </c>
      <c r="W210" s="153" t="str">
        <f t="shared" si="64"/>
        <v>Distrito Capital de Bogotá</v>
      </c>
      <c r="X210" s="129" t="s">
        <v>313</v>
      </c>
      <c r="Y210" s="127">
        <v>2427400</v>
      </c>
      <c r="Z210" s="86" t="s">
        <v>314</v>
      </c>
    </row>
    <row r="211" spans="1:26" s="5" customFormat="1" ht="12.75" hidden="1" customHeight="1" x14ac:dyDescent="0.25">
      <c r="A211" s="90" t="s">
        <v>309</v>
      </c>
      <c r="B211" s="91">
        <v>21</v>
      </c>
      <c r="C211" s="92" t="s">
        <v>335</v>
      </c>
      <c r="D211" s="92" t="s">
        <v>324</v>
      </c>
      <c r="E211" s="93"/>
      <c r="F211" s="93">
        <v>100000000</v>
      </c>
      <c r="G211" s="76"/>
      <c r="H211" s="157">
        <v>80111600</v>
      </c>
      <c r="I211" s="76" t="s">
        <v>312</v>
      </c>
      <c r="J211" s="97">
        <v>3</v>
      </c>
      <c r="K211" s="91">
        <v>4</v>
      </c>
      <c r="L211" s="98">
        <v>8</v>
      </c>
      <c r="M211" s="100">
        <f t="shared" ref="M211:M243" si="65">IF(ISBLANK(J211),"",1)</f>
        <v>1</v>
      </c>
      <c r="N211" s="100" t="s">
        <v>54</v>
      </c>
      <c r="O211" s="146" t="s">
        <v>55</v>
      </c>
      <c r="P211" s="147">
        <f t="shared" ref="P211:P243" si="66">IF(ISBLANK(N211),"",1)</f>
        <v>1</v>
      </c>
      <c r="Q211" s="101">
        <f>IF(VALUE(E211+F211+G211)=0,"",E211+F211+G211)</f>
        <v>100000000</v>
      </c>
      <c r="R211" s="101">
        <f>IF(VALUE(F211)=0,"",F211)</f>
        <v>100000000</v>
      </c>
      <c r="S211" s="91">
        <v>0</v>
      </c>
      <c r="T211" s="91">
        <f t="shared" ref="T211:T243" si="67">IF(ISBLANK(S211),"",IF(VALUE(S211)=0,0,IF(VALUE(S211)=1,3,"")))</f>
        <v>0</v>
      </c>
      <c r="U211" s="27" t="str">
        <f t="shared" ref="U211:U243" si="68">IF(ISBLANK(N211),"","SUBDIRECCION DE GESTION CONTRACTUAL")</f>
        <v>SUBDIRECCION DE GESTION CONTRACTUAL</v>
      </c>
      <c r="V211" s="91" t="str">
        <f t="shared" ref="V211:V243" si="69">IF(ISBLANK(N211),"","CO-DC")</f>
        <v>CO-DC</v>
      </c>
      <c r="W211" s="91" t="str">
        <f t="shared" ref="W211:W243" si="70">IF(ISBLANK(N211),"","Distrito Capital de Bogotá")</f>
        <v>Distrito Capital de Bogotá</v>
      </c>
      <c r="X211" s="103" t="s">
        <v>313</v>
      </c>
      <c r="Y211" s="91">
        <v>2427400</v>
      </c>
      <c r="Z211" s="85" t="s">
        <v>314</v>
      </c>
    </row>
    <row r="212" spans="1:26" s="5" customFormat="1" ht="12.75" hidden="1" customHeight="1" x14ac:dyDescent="0.2">
      <c r="A212" s="162" t="s">
        <v>309</v>
      </c>
      <c r="B212" s="127">
        <v>22</v>
      </c>
      <c r="C212" s="92" t="s">
        <v>327</v>
      </c>
      <c r="D212" s="92" t="s">
        <v>324</v>
      </c>
      <c r="E212" s="163"/>
      <c r="F212" s="164">
        <v>29976810</v>
      </c>
      <c r="G212" s="163"/>
      <c r="H212" s="94">
        <v>80111600</v>
      </c>
      <c r="I212" s="76" t="s">
        <v>312</v>
      </c>
      <c r="J212" s="95">
        <v>8</v>
      </c>
      <c r="K212" s="96">
        <v>8</v>
      </c>
      <c r="L212" s="97">
        <v>4</v>
      </c>
      <c r="M212" s="91">
        <v>1</v>
      </c>
      <c r="N212" s="98" t="s">
        <v>54</v>
      </c>
      <c r="O212" s="153" t="s">
        <v>55</v>
      </c>
      <c r="P212" s="161">
        <v>1</v>
      </c>
      <c r="Q212" s="101">
        <f>IF(VALUE(E212+F212+G212)=0,"",E212+F212+G212)</f>
        <v>29976810</v>
      </c>
      <c r="R212" s="101">
        <f>IF(VALUE(F212)=0,"",F212)</f>
        <v>29976810</v>
      </c>
      <c r="S212" s="127">
        <v>0</v>
      </c>
      <c r="T212" s="161">
        <v>0</v>
      </c>
      <c r="U212" s="153" t="s">
        <v>280</v>
      </c>
      <c r="V212" s="161" t="s">
        <v>207</v>
      </c>
      <c r="W212" s="153" t="s">
        <v>208</v>
      </c>
      <c r="X212" s="103" t="s">
        <v>313</v>
      </c>
      <c r="Y212" s="127">
        <v>2427400</v>
      </c>
      <c r="Z212" s="105" t="s">
        <v>314</v>
      </c>
    </row>
    <row r="213" spans="1:26" s="5" customFormat="1" ht="12.75" hidden="1" customHeight="1" x14ac:dyDescent="0.2">
      <c r="A213" s="90" t="s">
        <v>336</v>
      </c>
      <c r="B213" s="91">
        <v>1</v>
      </c>
      <c r="C213" s="92" t="s">
        <v>337</v>
      </c>
      <c r="D213" s="92" t="s">
        <v>338</v>
      </c>
      <c r="E213" s="93"/>
      <c r="F213" s="93">
        <v>2930922041</v>
      </c>
      <c r="G213" s="93"/>
      <c r="H213" s="94">
        <v>80111600</v>
      </c>
      <c r="I213" s="76" t="s">
        <v>339</v>
      </c>
      <c r="J213" s="95">
        <v>1</v>
      </c>
      <c r="K213" s="96">
        <v>1</v>
      </c>
      <c r="L213" s="97">
        <v>12</v>
      </c>
      <c r="M213" s="91">
        <f t="shared" si="65"/>
        <v>1</v>
      </c>
      <c r="N213" s="98" t="s">
        <v>54</v>
      </c>
      <c r="O213" s="99" t="s">
        <v>55</v>
      </c>
      <c r="P213" s="100">
        <f t="shared" si="66"/>
        <v>1</v>
      </c>
      <c r="Q213" s="101">
        <f t="shared" ref="Q213:Q244" si="71">+E213+F213+G213</f>
        <v>2930922041</v>
      </c>
      <c r="R213" s="101">
        <f t="shared" ref="R213:R244" si="72">+F213</f>
        <v>2930922041</v>
      </c>
      <c r="S213" s="102" t="s">
        <v>56</v>
      </c>
      <c r="T213" s="98">
        <f t="shared" si="67"/>
        <v>0</v>
      </c>
      <c r="U213" s="27" t="str">
        <f t="shared" si="68"/>
        <v>SUBDIRECCION DE GESTION CONTRACTUAL</v>
      </c>
      <c r="V213" s="91" t="str">
        <f t="shared" si="69"/>
        <v>CO-DC</v>
      </c>
      <c r="W213" s="27" t="str">
        <f t="shared" si="70"/>
        <v>Distrito Capital de Bogotá</v>
      </c>
      <c r="X213" s="103" t="s">
        <v>340</v>
      </c>
      <c r="Y213" s="91">
        <v>2427400</v>
      </c>
      <c r="Z213" s="105" t="s">
        <v>341</v>
      </c>
    </row>
    <row r="214" spans="1:26" s="5" customFormat="1" ht="12.75" hidden="1" customHeight="1" x14ac:dyDescent="0.2">
      <c r="A214" s="90" t="s">
        <v>336</v>
      </c>
      <c r="B214" s="91">
        <v>2</v>
      </c>
      <c r="C214" s="92" t="s">
        <v>342</v>
      </c>
      <c r="D214" s="92" t="s">
        <v>338</v>
      </c>
      <c r="E214" s="93"/>
      <c r="F214" s="93">
        <v>1002214917</v>
      </c>
      <c r="G214" s="93"/>
      <c r="H214" s="94">
        <v>80111600</v>
      </c>
      <c r="I214" s="76" t="s">
        <v>339</v>
      </c>
      <c r="J214" s="95">
        <v>1</v>
      </c>
      <c r="K214" s="96">
        <v>1</v>
      </c>
      <c r="L214" s="97">
        <v>12</v>
      </c>
      <c r="M214" s="91">
        <f t="shared" si="65"/>
        <v>1</v>
      </c>
      <c r="N214" s="98" t="s">
        <v>54</v>
      </c>
      <c r="O214" s="99" t="s">
        <v>55</v>
      </c>
      <c r="P214" s="100">
        <f t="shared" si="66"/>
        <v>1</v>
      </c>
      <c r="Q214" s="101">
        <f t="shared" si="71"/>
        <v>1002214917</v>
      </c>
      <c r="R214" s="101">
        <f t="shared" si="72"/>
        <v>1002214917</v>
      </c>
      <c r="S214" s="102" t="s">
        <v>56</v>
      </c>
      <c r="T214" s="98">
        <f t="shared" si="67"/>
        <v>0</v>
      </c>
      <c r="U214" s="27" t="str">
        <f t="shared" si="68"/>
        <v>SUBDIRECCION DE GESTION CONTRACTUAL</v>
      </c>
      <c r="V214" s="91" t="str">
        <f t="shared" si="69"/>
        <v>CO-DC</v>
      </c>
      <c r="W214" s="27" t="str">
        <f t="shared" si="70"/>
        <v>Distrito Capital de Bogotá</v>
      </c>
      <c r="X214" s="103" t="s">
        <v>340</v>
      </c>
      <c r="Y214" s="91">
        <v>2427400</v>
      </c>
      <c r="Z214" s="105" t="s">
        <v>341</v>
      </c>
    </row>
    <row r="215" spans="1:26" s="5" customFormat="1" ht="12.75" hidden="1" customHeight="1" x14ac:dyDescent="0.2">
      <c r="A215" s="90" t="s">
        <v>336</v>
      </c>
      <c r="B215" s="91">
        <v>3</v>
      </c>
      <c r="C215" s="92" t="s">
        <v>343</v>
      </c>
      <c r="D215" s="92" t="s">
        <v>338</v>
      </c>
      <c r="E215" s="93"/>
      <c r="F215" s="93">
        <v>377068280</v>
      </c>
      <c r="G215" s="93"/>
      <c r="H215" s="94">
        <v>80111600</v>
      </c>
      <c r="I215" s="76" t="s">
        <v>339</v>
      </c>
      <c r="J215" s="95">
        <v>1</v>
      </c>
      <c r="K215" s="96">
        <v>1</v>
      </c>
      <c r="L215" s="97">
        <v>12</v>
      </c>
      <c r="M215" s="91">
        <f t="shared" si="65"/>
        <v>1</v>
      </c>
      <c r="N215" s="98" t="s">
        <v>54</v>
      </c>
      <c r="O215" s="99" t="s">
        <v>55</v>
      </c>
      <c r="P215" s="100">
        <f t="shared" si="66"/>
        <v>1</v>
      </c>
      <c r="Q215" s="101">
        <f t="shared" si="71"/>
        <v>377068280</v>
      </c>
      <c r="R215" s="101">
        <f t="shared" si="72"/>
        <v>377068280</v>
      </c>
      <c r="S215" s="102" t="s">
        <v>56</v>
      </c>
      <c r="T215" s="98">
        <f t="shared" si="67"/>
        <v>0</v>
      </c>
      <c r="U215" s="27" t="str">
        <f t="shared" si="68"/>
        <v>SUBDIRECCION DE GESTION CONTRACTUAL</v>
      </c>
      <c r="V215" s="91" t="str">
        <f t="shared" si="69"/>
        <v>CO-DC</v>
      </c>
      <c r="W215" s="27" t="str">
        <f t="shared" si="70"/>
        <v>Distrito Capital de Bogotá</v>
      </c>
      <c r="X215" s="103" t="s">
        <v>340</v>
      </c>
      <c r="Y215" s="91">
        <v>2427400</v>
      </c>
      <c r="Z215" s="105" t="s">
        <v>341</v>
      </c>
    </row>
    <row r="216" spans="1:26" s="5" customFormat="1" ht="12.75" hidden="1" customHeight="1" x14ac:dyDescent="0.2">
      <c r="A216" s="90" t="s">
        <v>336</v>
      </c>
      <c r="B216" s="91">
        <f t="shared" ref="B216:B247" si="73">+B215+1</f>
        <v>4</v>
      </c>
      <c r="C216" s="92" t="s">
        <v>337</v>
      </c>
      <c r="D216" s="92" t="s">
        <v>338</v>
      </c>
      <c r="E216" s="93"/>
      <c r="F216" s="93">
        <f>6775505000+325175000</f>
        <v>7100680000</v>
      </c>
      <c r="G216" s="93"/>
      <c r="H216" s="94" t="s">
        <v>67</v>
      </c>
      <c r="I216" s="76" t="s">
        <v>344</v>
      </c>
      <c r="J216" s="95">
        <v>2</v>
      </c>
      <c r="K216" s="165">
        <v>3</v>
      </c>
      <c r="L216" s="97">
        <v>9</v>
      </c>
      <c r="M216" s="91">
        <f t="shared" si="65"/>
        <v>1</v>
      </c>
      <c r="N216" s="98" t="s">
        <v>69</v>
      </c>
      <c r="O216" s="99" t="s">
        <v>70</v>
      </c>
      <c r="P216" s="100">
        <f t="shared" si="66"/>
        <v>1</v>
      </c>
      <c r="Q216" s="101">
        <f t="shared" si="71"/>
        <v>7100680000</v>
      </c>
      <c r="R216" s="101">
        <f t="shared" si="72"/>
        <v>7100680000</v>
      </c>
      <c r="S216" s="102" t="s">
        <v>56</v>
      </c>
      <c r="T216" s="98">
        <f t="shared" si="67"/>
        <v>0</v>
      </c>
      <c r="U216" s="27" t="str">
        <f t="shared" si="68"/>
        <v>SUBDIRECCION DE GESTION CONTRACTUAL</v>
      </c>
      <c r="V216" s="91" t="str">
        <f t="shared" si="69"/>
        <v>CO-DC</v>
      </c>
      <c r="W216" s="27" t="str">
        <f t="shared" si="70"/>
        <v>Distrito Capital de Bogotá</v>
      </c>
      <c r="X216" s="103" t="s">
        <v>340</v>
      </c>
      <c r="Y216" s="91">
        <v>2427400</v>
      </c>
      <c r="Z216" s="105" t="s">
        <v>341</v>
      </c>
    </row>
    <row r="217" spans="1:26" s="5" customFormat="1" ht="12.75" hidden="1" customHeight="1" x14ac:dyDescent="0.2">
      <c r="A217" s="90" t="s">
        <v>336</v>
      </c>
      <c r="B217" s="91">
        <f t="shared" si="73"/>
        <v>5</v>
      </c>
      <c r="C217" s="92" t="s">
        <v>342</v>
      </c>
      <c r="D217" s="92" t="s">
        <v>338</v>
      </c>
      <c r="E217" s="93"/>
      <c r="F217" s="93">
        <f>3133047492+96000000</f>
        <v>3229047492</v>
      </c>
      <c r="G217" s="93"/>
      <c r="H217" s="94" t="s">
        <v>67</v>
      </c>
      <c r="I217" s="76" t="s">
        <v>344</v>
      </c>
      <c r="J217" s="95">
        <v>2</v>
      </c>
      <c r="K217" s="165">
        <v>3</v>
      </c>
      <c r="L217" s="97">
        <v>9</v>
      </c>
      <c r="M217" s="91">
        <f t="shared" si="65"/>
        <v>1</v>
      </c>
      <c r="N217" s="98" t="s">
        <v>69</v>
      </c>
      <c r="O217" s="99" t="s">
        <v>70</v>
      </c>
      <c r="P217" s="100">
        <f t="shared" si="66"/>
        <v>1</v>
      </c>
      <c r="Q217" s="101">
        <f t="shared" si="71"/>
        <v>3229047492</v>
      </c>
      <c r="R217" s="101">
        <f t="shared" si="72"/>
        <v>3229047492</v>
      </c>
      <c r="S217" s="102" t="s">
        <v>56</v>
      </c>
      <c r="T217" s="98">
        <f t="shared" si="67"/>
        <v>0</v>
      </c>
      <c r="U217" s="27" t="str">
        <f t="shared" si="68"/>
        <v>SUBDIRECCION DE GESTION CONTRACTUAL</v>
      </c>
      <c r="V217" s="91" t="str">
        <f t="shared" si="69"/>
        <v>CO-DC</v>
      </c>
      <c r="W217" s="27" t="str">
        <f t="shared" si="70"/>
        <v>Distrito Capital de Bogotá</v>
      </c>
      <c r="X217" s="103" t="s">
        <v>340</v>
      </c>
      <c r="Y217" s="91">
        <v>2427400</v>
      </c>
      <c r="Z217" s="105" t="s">
        <v>341</v>
      </c>
    </row>
    <row r="218" spans="1:26" s="5" customFormat="1" ht="12.75" hidden="1" customHeight="1" x14ac:dyDescent="0.2">
      <c r="A218" s="90" t="s">
        <v>336</v>
      </c>
      <c r="B218" s="91">
        <f t="shared" si="73"/>
        <v>6</v>
      </c>
      <c r="C218" s="92" t="s">
        <v>343</v>
      </c>
      <c r="D218" s="92" t="s">
        <v>338</v>
      </c>
      <c r="E218" s="93"/>
      <c r="F218" s="93">
        <f>77250000+865200000+77250000</f>
        <v>1019700000</v>
      </c>
      <c r="G218" s="93"/>
      <c r="H218" s="94" t="s">
        <v>67</v>
      </c>
      <c r="I218" s="76" t="s">
        <v>344</v>
      </c>
      <c r="J218" s="95">
        <v>2</v>
      </c>
      <c r="K218" s="96">
        <v>3</v>
      </c>
      <c r="L218" s="97">
        <v>9</v>
      </c>
      <c r="M218" s="91">
        <f t="shared" si="65"/>
        <v>1</v>
      </c>
      <c r="N218" s="98" t="s">
        <v>69</v>
      </c>
      <c r="O218" s="99" t="s">
        <v>70</v>
      </c>
      <c r="P218" s="100">
        <f t="shared" si="66"/>
        <v>1</v>
      </c>
      <c r="Q218" s="101">
        <f t="shared" si="71"/>
        <v>1019700000</v>
      </c>
      <c r="R218" s="101">
        <f t="shared" si="72"/>
        <v>1019700000</v>
      </c>
      <c r="S218" s="102" t="s">
        <v>56</v>
      </c>
      <c r="T218" s="98">
        <f t="shared" si="67"/>
        <v>0</v>
      </c>
      <c r="U218" s="27" t="str">
        <f t="shared" si="68"/>
        <v>SUBDIRECCION DE GESTION CONTRACTUAL</v>
      </c>
      <c r="V218" s="91" t="str">
        <f t="shared" si="69"/>
        <v>CO-DC</v>
      </c>
      <c r="W218" s="27" t="str">
        <f t="shared" si="70"/>
        <v>Distrito Capital de Bogotá</v>
      </c>
      <c r="X218" s="103" t="s">
        <v>340</v>
      </c>
      <c r="Y218" s="91">
        <v>2427400</v>
      </c>
      <c r="Z218" s="105" t="s">
        <v>341</v>
      </c>
    </row>
    <row r="219" spans="1:26" s="5" customFormat="1" ht="12.75" hidden="1" customHeight="1" x14ac:dyDescent="0.2">
      <c r="A219" s="90" t="s">
        <v>336</v>
      </c>
      <c r="B219" s="91">
        <f t="shared" si="73"/>
        <v>7</v>
      </c>
      <c r="C219" s="92" t="s">
        <v>337</v>
      </c>
      <c r="D219" s="92" t="s">
        <v>338</v>
      </c>
      <c r="E219" s="93"/>
      <c r="F219" s="93">
        <v>451170000</v>
      </c>
      <c r="G219" s="93"/>
      <c r="H219" s="94" t="s">
        <v>59</v>
      </c>
      <c r="I219" s="76" t="s">
        <v>345</v>
      </c>
      <c r="J219" s="95">
        <v>3</v>
      </c>
      <c r="K219" s="96">
        <v>4</v>
      </c>
      <c r="L219" s="97">
        <v>9</v>
      </c>
      <c r="M219" s="91">
        <f t="shared" si="65"/>
        <v>1</v>
      </c>
      <c r="N219" s="98" t="s">
        <v>61</v>
      </c>
      <c r="O219" s="99" t="s">
        <v>62</v>
      </c>
      <c r="P219" s="100">
        <f t="shared" si="66"/>
        <v>1</v>
      </c>
      <c r="Q219" s="101">
        <f t="shared" si="71"/>
        <v>451170000</v>
      </c>
      <c r="R219" s="101">
        <f t="shared" si="72"/>
        <v>451170000</v>
      </c>
      <c r="S219" s="102" t="s">
        <v>56</v>
      </c>
      <c r="T219" s="98">
        <f t="shared" si="67"/>
        <v>0</v>
      </c>
      <c r="U219" s="27" t="str">
        <f t="shared" si="68"/>
        <v>SUBDIRECCION DE GESTION CONTRACTUAL</v>
      </c>
      <c r="V219" s="91" t="str">
        <f t="shared" si="69"/>
        <v>CO-DC</v>
      </c>
      <c r="W219" s="27" t="str">
        <f t="shared" si="70"/>
        <v>Distrito Capital de Bogotá</v>
      </c>
      <c r="X219" s="103" t="s">
        <v>162</v>
      </c>
      <c r="Y219" s="91">
        <v>2427400</v>
      </c>
      <c r="Z219" s="105" t="s">
        <v>163</v>
      </c>
    </row>
    <row r="220" spans="1:26" s="5" customFormat="1" ht="12.75" hidden="1" customHeight="1" x14ac:dyDescent="0.2">
      <c r="A220" s="90" t="s">
        <v>336</v>
      </c>
      <c r="B220" s="91">
        <f t="shared" si="73"/>
        <v>8</v>
      </c>
      <c r="C220" s="92" t="s">
        <v>342</v>
      </c>
      <c r="D220" s="92" t="s">
        <v>338</v>
      </c>
      <c r="E220" s="93"/>
      <c r="F220" s="93">
        <v>187110000</v>
      </c>
      <c r="G220" s="93"/>
      <c r="H220" s="94" t="s">
        <v>59</v>
      </c>
      <c r="I220" s="76" t="s">
        <v>345</v>
      </c>
      <c r="J220" s="95">
        <v>3</v>
      </c>
      <c r="K220" s="165">
        <v>4</v>
      </c>
      <c r="L220" s="97">
        <v>9</v>
      </c>
      <c r="M220" s="91">
        <f t="shared" si="65"/>
        <v>1</v>
      </c>
      <c r="N220" s="98" t="s">
        <v>61</v>
      </c>
      <c r="O220" s="99" t="s">
        <v>62</v>
      </c>
      <c r="P220" s="100">
        <f t="shared" si="66"/>
        <v>1</v>
      </c>
      <c r="Q220" s="101">
        <f t="shared" si="71"/>
        <v>187110000</v>
      </c>
      <c r="R220" s="101">
        <f t="shared" si="72"/>
        <v>187110000</v>
      </c>
      <c r="S220" s="102" t="s">
        <v>56</v>
      </c>
      <c r="T220" s="98">
        <f t="shared" si="67"/>
        <v>0</v>
      </c>
      <c r="U220" s="27" t="str">
        <f t="shared" si="68"/>
        <v>SUBDIRECCION DE GESTION CONTRACTUAL</v>
      </c>
      <c r="V220" s="91" t="str">
        <f t="shared" si="69"/>
        <v>CO-DC</v>
      </c>
      <c r="W220" s="27" t="str">
        <f t="shared" si="70"/>
        <v>Distrito Capital de Bogotá</v>
      </c>
      <c r="X220" s="103" t="s">
        <v>162</v>
      </c>
      <c r="Y220" s="91">
        <v>2427400</v>
      </c>
      <c r="Z220" s="105" t="s">
        <v>163</v>
      </c>
    </row>
    <row r="221" spans="1:26" s="5" customFormat="1" ht="12.75" hidden="1" customHeight="1" x14ac:dyDescent="0.2">
      <c r="A221" s="90" t="s">
        <v>336</v>
      </c>
      <c r="B221" s="91">
        <f t="shared" si="73"/>
        <v>9</v>
      </c>
      <c r="C221" s="92" t="s">
        <v>343</v>
      </c>
      <c r="D221" s="92" t="s">
        <v>338</v>
      </c>
      <c r="E221" s="93"/>
      <c r="F221" s="93">
        <v>32400000</v>
      </c>
      <c r="G221" s="93"/>
      <c r="H221" s="94" t="s">
        <v>59</v>
      </c>
      <c r="I221" s="76" t="s">
        <v>345</v>
      </c>
      <c r="J221" s="95">
        <v>3</v>
      </c>
      <c r="K221" s="96">
        <v>4</v>
      </c>
      <c r="L221" s="97">
        <v>9</v>
      </c>
      <c r="M221" s="91">
        <f t="shared" si="65"/>
        <v>1</v>
      </c>
      <c r="N221" s="98" t="s">
        <v>61</v>
      </c>
      <c r="O221" s="99" t="s">
        <v>62</v>
      </c>
      <c r="P221" s="100">
        <f t="shared" si="66"/>
        <v>1</v>
      </c>
      <c r="Q221" s="101">
        <f t="shared" si="71"/>
        <v>32400000</v>
      </c>
      <c r="R221" s="101">
        <f t="shared" si="72"/>
        <v>32400000</v>
      </c>
      <c r="S221" s="102" t="s">
        <v>56</v>
      </c>
      <c r="T221" s="98">
        <f t="shared" si="67"/>
        <v>0</v>
      </c>
      <c r="U221" s="27" t="str">
        <f t="shared" si="68"/>
        <v>SUBDIRECCION DE GESTION CONTRACTUAL</v>
      </c>
      <c r="V221" s="91" t="str">
        <f t="shared" si="69"/>
        <v>CO-DC</v>
      </c>
      <c r="W221" s="27" t="str">
        <f t="shared" si="70"/>
        <v>Distrito Capital de Bogotá</v>
      </c>
      <c r="X221" s="103" t="s">
        <v>162</v>
      </c>
      <c r="Y221" s="91">
        <v>2427400</v>
      </c>
      <c r="Z221" s="105" t="s">
        <v>163</v>
      </c>
    </row>
    <row r="222" spans="1:26" s="5" customFormat="1" ht="12.75" hidden="1" customHeight="1" x14ac:dyDescent="0.2">
      <c r="A222" s="90" t="s">
        <v>336</v>
      </c>
      <c r="B222" s="91">
        <f t="shared" si="73"/>
        <v>10</v>
      </c>
      <c r="C222" s="92" t="s">
        <v>337</v>
      </c>
      <c r="D222" s="92" t="s">
        <v>338</v>
      </c>
      <c r="E222" s="93"/>
      <c r="F222" s="93">
        <v>1730400000</v>
      </c>
      <c r="G222" s="93"/>
      <c r="H222" s="94" t="s">
        <v>346</v>
      </c>
      <c r="I222" s="76" t="s">
        <v>347</v>
      </c>
      <c r="J222" s="95">
        <v>7</v>
      </c>
      <c r="K222" s="161">
        <v>7</v>
      </c>
      <c r="L222" s="97">
        <v>5</v>
      </c>
      <c r="M222" s="91">
        <f t="shared" si="65"/>
        <v>1</v>
      </c>
      <c r="N222" s="98" t="s">
        <v>64</v>
      </c>
      <c r="O222" s="99" t="s">
        <v>65</v>
      </c>
      <c r="P222" s="100">
        <f t="shared" si="66"/>
        <v>1</v>
      </c>
      <c r="Q222" s="101">
        <f t="shared" si="71"/>
        <v>1730400000</v>
      </c>
      <c r="R222" s="101">
        <f t="shared" si="72"/>
        <v>1730400000</v>
      </c>
      <c r="S222" s="102" t="s">
        <v>56</v>
      </c>
      <c r="T222" s="98">
        <f t="shared" si="67"/>
        <v>0</v>
      </c>
      <c r="U222" s="27" t="str">
        <f t="shared" si="68"/>
        <v>SUBDIRECCION DE GESTION CONTRACTUAL</v>
      </c>
      <c r="V222" s="91" t="str">
        <f t="shared" si="69"/>
        <v>CO-DC</v>
      </c>
      <c r="W222" s="27" t="str">
        <f t="shared" si="70"/>
        <v>Distrito Capital de Bogotá</v>
      </c>
      <c r="X222" s="103" t="s">
        <v>340</v>
      </c>
      <c r="Y222" s="91">
        <v>2427400</v>
      </c>
      <c r="Z222" s="105" t="s">
        <v>341</v>
      </c>
    </row>
    <row r="223" spans="1:26" s="5" customFormat="1" ht="12.75" hidden="1" customHeight="1" x14ac:dyDescent="0.2">
      <c r="A223" s="90" t="s">
        <v>336</v>
      </c>
      <c r="B223" s="91">
        <f t="shared" si="73"/>
        <v>11</v>
      </c>
      <c r="C223" s="92" t="s">
        <v>337</v>
      </c>
      <c r="D223" s="92" t="s">
        <v>338</v>
      </c>
      <c r="E223" s="93"/>
      <c r="F223" s="93">
        <f>18810000000-18810000000</f>
        <v>0</v>
      </c>
      <c r="G223" s="93"/>
      <c r="H223" s="94" t="s">
        <v>182</v>
      </c>
      <c r="I223" s="76" t="s">
        <v>348</v>
      </c>
      <c r="J223" s="95">
        <v>5</v>
      </c>
      <c r="K223" s="161">
        <v>6</v>
      </c>
      <c r="L223" s="97">
        <v>6</v>
      </c>
      <c r="M223" s="91">
        <f t="shared" si="65"/>
        <v>1</v>
      </c>
      <c r="N223" s="98" t="s">
        <v>64</v>
      </c>
      <c r="O223" s="99" t="s">
        <v>65</v>
      </c>
      <c r="P223" s="100">
        <f t="shared" si="66"/>
        <v>1</v>
      </c>
      <c r="Q223" s="101">
        <f t="shared" si="71"/>
        <v>0</v>
      </c>
      <c r="R223" s="101">
        <f t="shared" si="72"/>
        <v>0</v>
      </c>
      <c r="S223" s="102" t="s">
        <v>56</v>
      </c>
      <c r="T223" s="98">
        <f t="shared" si="67"/>
        <v>0</v>
      </c>
      <c r="U223" s="27" t="str">
        <f t="shared" si="68"/>
        <v>SUBDIRECCION DE GESTION CONTRACTUAL</v>
      </c>
      <c r="V223" s="91" t="str">
        <f t="shared" si="69"/>
        <v>CO-DC</v>
      </c>
      <c r="W223" s="27" t="str">
        <f t="shared" si="70"/>
        <v>Distrito Capital de Bogotá</v>
      </c>
      <c r="X223" s="103" t="s">
        <v>340</v>
      </c>
      <c r="Y223" s="91">
        <v>2427400</v>
      </c>
      <c r="Z223" s="105" t="s">
        <v>341</v>
      </c>
    </row>
    <row r="224" spans="1:26" s="5" customFormat="1" ht="12.75" hidden="1" customHeight="1" x14ac:dyDescent="0.2">
      <c r="A224" s="90" t="s">
        <v>336</v>
      </c>
      <c r="B224" s="91">
        <f t="shared" si="73"/>
        <v>12</v>
      </c>
      <c r="C224" s="92" t="s">
        <v>337</v>
      </c>
      <c r="D224" s="92" t="s">
        <v>338</v>
      </c>
      <c r="E224" s="93"/>
      <c r="F224" s="93">
        <v>143296144.09999999</v>
      </c>
      <c r="G224" s="93"/>
      <c r="H224" s="94" t="s">
        <v>203</v>
      </c>
      <c r="I224" s="76" t="s">
        <v>349</v>
      </c>
      <c r="J224" s="95">
        <v>8</v>
      </c>
      <c r="K224" s="95">
        <v>8</v>
      </c>
      <c r="L224" s="97">
        <v>4</v>
      </c>
      <c r="M224" s="91">
        <f t="shared" si="65"/>
        <v>1</v>
      </c>
      <c r="N224" s="98" t="s">
        <v>64</v>
      </c>
      <c r="O224" s="99" t="s">
        <v>65</v>
      </c>
      <c r="P224" s="100">
        <f t="shared" si="66"/>
        <v>1</v>
      </c>
      <c r="Q224" s="101">
        <f t="shared" si="71"/>
        <v>143296144.09999999</v>
      </c>
      <c r="R224" s="101">
        <f t="shared" si="72"/>
        <v>143296144.09999999</v>
      </c>
      <c r="S224" s="102" t="s">
        <v>56</v>
      </c>
      <c r="T224" s="98">
        <f t="shared" si="67"/>
        <v>0</v>
      </c>
      <c r="U224" s="27" t="str">
        <f t="shared" si="68"/>
        <v>SUBDIRECCION DE GESTION CONTRACTUAL</v>
      </c>
      <c r="V224" s="91" t="str">
        <f t="shared" si="69"/>
        <v>CO-DC</v>
      </c>
      <c r="W224" s="27" t="str">
        <f t="shared" si="70"/>
        <v>Distrito Capital de Bogotá</v>
      </c>
      <c r="X224" s="103" t="s">
        <v>121</v>
      </c>
      <c r="Y224" s="91">
        <v>2427400</v>
      </c>
      <c r="Z224" s="105" t="s">
        <v>122</v>
      </c>
    </row>
    <row r="225" spans="1:26" s="5" customFormat="1" ht="12.75" hidden="1" customHeight="1" x14ac:dyDescent="0.2">
      <c r="A225" s="90" t="s">
        <v>336</v>
      </c>
      <c r="B225" s="91">
        <f t="shared" si="73"/>
        <v>13</v>
      </c>
      <c r="C225" s="92" t="s">
        <v>337</v>
      </c>
      <c r="D225" s="92" t="s">
        <v>338</v>
      </c>
      <c r="E225" s="93"/>
      <c r="F225" s="93">
        <v>102257200.97499847</v>
      </c>
      <c r="G225" s="93"/>
      <c r="H225" s="94" t="s">
        <v>350</v>
      </c>
      <c r="I225" s="76" t="s">
        <v>351</v>
      </c>
      <c r="J225" s="95">
        <v>7</v>
      </c>
      <c r="K225" s="165" t="s">
        <v>352</v>
      </c>
      <c r="L225" s="97">
        <v>5</v>
      </c>
      <c r="M225" s="91">
        <f t="shared" si="65"/>
        <v>1</v>
      </c>
      <c r="N225" s="98" t="s">
        <v>64</v>
      </c>
      <c r="O225" s="99" t="s">
        <v>65</v>
      </c>
      <c r="P225" s="100">
        <f t="shared" si="66"/>
        <v>1</v>
      </c>
      <c r="Q225" s="101">
        <f t="shared" si="71"/>
        <v>102257200.97499847</v>
      </c>
      <c r="R225" s="101">
        <f t="shared" si="72"/>
        <v>102257200.97499847</v>
      </c>
      <c r="S225" s="102" t="s">
        <v>56</v>
      </c>
      <c r="T225" s="98">
        <f t="shared" si="67"/>
        <v>0</v>
      </c>
      <c r="U225" s="27" t="str">
        <f t="shared" si="68"/>
        <v>SUBDIRECCION DE GESTION CONTRACTUAL</v>
      </c>
      <c r="V225" s="91" t="str">
        <f t="shared" si="69"/>
        <v>CO-DC</v>
      </c>
      <c r="W225" s="27" t="str">
        <f t="shared" si="70"/>
        <v>Distrito Capital de Bogotá</v>
      </c>
      <c r="X225" s="103" t="s">
        <v>340</v>
      </c>
      <c r="Y225" s="91">
        <v>2427400</v>
      </c>
      <c r="Z225" s="105" t="s">
        <v>341</v>
      </c>
    </row>
    <row r="226" spans="1:26" s="5" customFormat="1" ht="12.75" hidden="1" customHeight="1" x14ac:dyDescent="0.2">
      <c r="A226" s="90" t="s">
        <v>336</v>
      </c>
      <c r="B226" s="91">
        <f t="shared" si="73"/>
        <v>14</v>
      </c>
      <c r="C226" s="92" t="s">
        <v>337</v>
      </c>
      <c r="D226" s="92" t="s">
        <v>338</v>
      </c>
      <c r="E226" s="93"/>
      <c r="F226" s="93">
        <v>126000000</v>
      </c>
      <c r="G226" s="93"/>
      <c r="H226" s="94" t="s">
        <v>353</v>
      </c>
      <c r="I226" s="76" t="s">
        <v>354</v>
      </c>
      <c r="J226" s="95">
        <v>5</v>
      </c>
      <c r="K226" s="161">
        <v>6</v>
      </c>
      <c r="L226" s="97">
        <v>6</v>
      </c>
      <c r="M226" s="91">
        <f t="shared" si="65"/>
        <v>1</v>
      </c>
      <c r="N226" s="98" t="s">
        <v>64</v>
      </c>
      <c r="O226" s="99" t="s">
        <v>65</v>
      </c>
      <c r="P226" s="100">
        <f t="shared" si="66"/>
        <v>1</v>
      </c>
      <c r="Q226" s="101">
        <f t="shared" si="71"/>
        <v>126000000</v>
      </c>
      <c r="R226" s="101">
        <f t="shared" si="72"/>
        <v>126000000</v>
      </c>
      <c r="S226" s="102" t="s">
        <v>56</v>
      </c>
      <c r="T226" s="98">
        <f t="shared" si="67"/>
        <v>0</v>
      </c>
      <c r="U226" s="27" t="str">
        <f t="shared" si="68"/>
        <v>SUBDIRECCION DE GESTION CONTRACTUAL</v>
      </c>
      <c r="V226" s="91" t="str">
        <f t="shared" si="69"/>
        <v>CO-DC</v>
      </c>
      <c r="W226" s="27" t="str">
        <f t="shared" si="70"/>
        <v>Distrito Capital de Bogotá</v>
      </c>
      <c r="X226" s="103" t="s">
        <v>340</v>
      </c>
      <c r="Y226" s="91">
        <v>2427400</v>
      </c>
      <c r="Z226" s="105" t="s">
        <v>341</v>
      </c>
    </row>
    <row r="227" spans="1:26" s="5" customFormat="1" ht="12.75" hidden="1" customHeight="1" x14ac:dyDescent="0.2">
      <c r="A227" s="90" t="s">
        <v>336</v>
      </c>
      <c r="B227" s="91">
        <f t="shared" si="73"/>
        <v>15</v>
      </c>
      <c r="C227" s="92" t="s">
        <v>343</v>
      </c>
      <c r="D227" s="92" t="s">
        <v>338</v>
      </c>
      <c r="E227" s="93"/>
      <c r="F227" s="93">
        <v>130000000</v>
      </c>
      <c r="G227" s="93"/>
      <c r="H227" s="94" t="s">
        <v>203</v>
      </c>
      <c r="I227" s="76" t="s">
        <v>349</v>
      </c>
      <c r="J227" s="95">
        <v>8</v>
      </c>
      <c r="K227" s="165" t="s">
        <v>171</v>
      </c>
      <c r="L227" s="97">
        <v>4</v>
      </c>
      <c r="M227" s="91">
        <f t="shared" si="65"/>
        <v>1</v>
      </c>
      <c r="N227" s="98" t="s">
        <v>64</v>
      </c>
      <c r="O227" s="99" t="s">
        <v>65</v>
      </c>
      <c r="P227" s="100">
        <f t="shared" si="66"/>
        <v>1</v>
      </c>
      <c r="Q227" s="101">
        <f t="shared" si="71"/>
        <v>130000000</v>
      </c>
      <c r="R227" s="101">
        <f t="shared" si="72"/>
        <v>130000000</v>
      </c>
      <c r="S227" s="102" t="s">
        <v>56</v>
      </c>
      <c r="T227" s="98">
        <f t="shared" si="67"/>
        <v>0</v>
      </c>
      <c r="U227" s="27" t="str">
        <f t="shared" si="68"/>
        <v>SUBDIRECCION DE GESTION CONTRACTUAL</v>
      </c>
      <c r="V227" s="91" t="str">
        <f t="shared" si="69"/>
        <v>CO-DC</v>
      </c>
      <c r="W227" s="27" t="str">
        <f t="shared" si="70"/>
        <v>Distrito Capital de Bogotá</v>
      </c>
      <c r="X227" s="103" t="s">
        <v>121</v>
      </c>
      <c r="Y227" s="91">
        <v>2427400</v>
      </c>
      <c r="Z227" s="105" t="s">
        <v>122</v>
      </c>
    </row>
    <row r="228" spans="1:26" s="5" customFormat="1" ht="12.75" hidden="1" customHeight="1" x14ac:dyDescent="0.2">
      <c r="A228" s="90" t="s">
        <v>336</v>
      </c>
      <c r="B228" s="91">
        <f t="shared" si="73"/>
        <v>16</v>
      </c>
      <c r="C228" s="92" t="s">
        <v>355</v>
      </c>
      <c r="D228" s="92" t="s">
        <v>356</v>
      </c>
      <c r="E228" s="93"/>
      <c r="F228" s="93">
        <v>1841153635.2</v>
      </c>
      <c r="G228" s="93"/>
      <c r="H228" s="94">
        <v>80111600</v>
      </c>
      <c r="I228" s="76" t="s">
        <v>339</v>
      </c>
      <c r="J228" s="95">
        <v>1</v>
      </c>
      <c r="K228" s="96">
        <v>1</v>
      </c>
      <c r="L228" s="97">
        <v>12</v>
      </c>
      <c r="M228" s="91">
        <f t="shared" si="65"/>
        <v>1</v>
      </c>
      <c r="N228" s="98" t="s">
        <v>54</v>
      </c>
      <c r="O228" s="99" t="s">
        <v>55</v>
      </c>
      <c r="P228" s="100">
        <f t="shared" si="66"/>
        <v>1</v>
      </c>
      <c r="Q228" s="101">
        <f t="shared" si="71"/>
        <v>1841153635.2</v>
      </c>
      <c r="R228" s="101">
        <f t="shared" si="72"/>
        <v>1841153635.2</v>
      </c>
      <c r="S228" s="102" t="s">
        <v>56</v>
      </c>
      <c r="T228" s="98">
        <f t="shared" si="67"/>
        <v>0</v>
      </c>
      <c r="U228" s="27" t="str">
        <f t="shared" si="68"/>
        <v>SUBDIRECCION DE GESTION CONTRACTUAL</v>
      </c>
      <c r="V228" s="91" t="str">
        <f t="shared" si="69"/>
        <v>CO-DC</v>
      </c>
      <c r="W228" s="27" t="str">
        <f t="shared" si="70"/>
        <v>Distrito Capital de Bogotá</v>
      </c>
      <c r="X228" s="103" t="s">
        <v>340</v>
      </c>
      <c r="Y228" s="91">
        <v>2427400</v>
      </c>
      <c r="Z228" s="105" t="s">
        <v>341</v>
      </c>
    </row>
    <row r="229" spans="1:26" s="5" customFormat="1" ht="12.75" hidden="1" customHeight="1" x14ac:dyDescent="0.2">
      <c r="A229" s="90" t="s">
        <v>336</v>
      </c>
      <c r="B229" s="91">
        <f t="shared" si="73"/>
        <v>17</v>
      </c>
      <c r="C229" s="92" t="s">
        <v>355</v>
      </c>
      <c r="D229" s="92" t="s">
        <v>356</v>
      </c>
      <c r="E229" s="93"/>
      <c r="F229" s="93">
        <v>189000000</v>
      </c>
      <c r="G229" s="93"/>
      <c r="H229" s="94" t="s">
        <v>59</v>
      </c>
      <c r="I229" s="76" t="s">
        <v>345</v>
      </c>
      <c r="J229" s="95">
        <v>3</v>
      </c>
      <c r="K229" s="96">
        <v>4</v>
      </c>
      <c r="L229" s="97">
        <v>9</v>
      </c>
      <c r="M229" s="91">
        <f t="shared" si="65"/>
        <v>1</v>
      </c>
      <c r="N229" s="98" t="s">
        <v>61</v>
      </c>
      <c r="O229" s="99" t="s">
        <v>62</v>
      </c>
      <c r="P229" s="100">
        <f t="shared" si="66"/>
        <v>1</v>
      </c>
      <c r="Q229" s="101">
        <f t="shared" si="71"/>
        <v>189000000</v>
      </c>
      <c r="R229" s="101">
        <f t="shared" si="72"/>
        <v>189000000</v>
      </c>
      <c r="S229" s="102" t="s">
        <v>56</v>
      </c>
      <c r="T229" s="98">
        <f t="shared" si="67"/>
        <v>0</v>
      </c>
      <c r="U229" s="27" t="str">
        <f t="shared" si="68"/>
        <v>SUBDIRECCION DE GESTION CONTRACTUAL</v>
      </c>
      <c r="V229" s="91" t="str">
        <f t="shared" si="69"/>
        <v>CO-DC</v>
      </c>
      <c r="W229" s="27" t="str">
        <f t="shared" si="70"/>
        <v>Distrito Capital de Bogotá</v>
      </c>
      <c r="X229" s="103" t="s">
        <v>162</v>
      </c>
      <c r="Y229" s="91">
        <v>2427400</v>
      </c>
      <c r="Z229" s="105" t="s">
        <v>163</v>
      </c>
    </row>
    <row r="230" spans="1:26" s="5" customFormat="1" ht="12.75" hidden="1" customHeight="1" x14ac:dyDescent="0.2">
      <c r="A230" s="90" t="s">
        <v>336</v>
      </c>
      <c r="B230" s="91">
        <f t="shared" si="73"/>
        <v>18</v>
      </c>
      <c r="C230" s="92" t="s">
        <v>355</v>
      </c>
      <c r="D230" s="92" t="s">
        <v>356</v>
      </c>
      <c r="E230" s="93"/>
      <c r="F230" s="93">
        <f>6579163981+198202843-430000000</f>
        <v>6347366824</v>
      </c>
      <c r="G230" s="93"/>
      <c r="H230" s="94" t="s">
        <v>67</v>
      </c>
      <c r="I230" s="76" t="s">
        <v>344</v>
      </c>
      <c r="J230" s="95">
        <v>2</v>
      </c>
      <c r="K230" s="96">
        <v>3</v>
      </c>
      <c r="L230" s="97">
        <v>9</v>
      </c>
      <c r="M230" s="91">
        <f t="shared" si="65"/>
        <v>1</v>
      </c>
      <c r="N230" s="98" t="s">
        <v>69</v>
      </c>
      <c r="O230" s="99" t="s">
        <v>70</v>
      </c>
      <c r="P230" s="100">
        <f t="shared" si="66"/>
        <v>1</v>
      </c>
      <c r="Q230" s="101">
        <f t="shared" si="71"/>
        <v>6347366824</v>
      </c>
      <c r="R230" s="101">
        <f t="shared" si="72"/>
        <v>6347366824</v>
      </c>
      <c r="S230" s="102" t="s">
        <v>56</v>
      </c>
      <c r="T230" s="98">
        <f t="shared" si="67"/>
        <v>0</v>
      </c>
      <c r="U230" s="27" t="str">
        <f t="shared" si="68"/>
        <v>SUBDIRECCION DE GESTION CONTRACTUAL</v>
      </c>
      <c r="V230" s="91" t="str">
        <f t="shared" si="69"/>
        <v>CO-DC</v>
      </c>
      <c r="W230" s="27" t="str">
        <f t="shared" si="70"/>
        <v>Distrito Capital de Bogotá</v>
      </c>
      <c r="X230" s="103" t="s">
        <v>340</v>
      </c>
      <c r="Y230" s="91">
        <v>2427400</v>
      </c>
      <c r="Z230" s="105" t="s">
        <v>341</v>
      </c>
    </row>
    <row r="231" spans="1:26" s="5" customFormat="1" ht="12.75" hidden="1" customHeight="1" x14ac:dyDescent="0.2">
      <c r="A231" s="90" t="s">
        <v>336</v>
      </c>
      <c r="B231" s="91">
        <f t="shared" si="73"/>
        <v>19</v>
      </c>
      <c r="C231" s="92" t="s">
        <v>355</v>
      </c>
      <c r="D231" s="92" t="s">
        <v>356</v>
      </c>
      <c r="E231" s="93"/>
      <c r="F231" s="93">
        <f>2440000000-2440000000</f>
        <v>0</v>
      </c>
      <c r="G231" s="93"/>
      <c r="H231" s="94" t="s">
        <v>182</v>
      </c>
      <c r="I231" s="76" t="s">
        <v>348</v>
      </c>
      <c r="J231" s="95">
        <v>5</v>
      </c>
      <c r="K231" s="166">
        <v>6</v>
      </c>
      <c r="L231" s="97">
        <v>6</v>
      </c>
      <c r="M231" s="91">
        <f t="shared" si="65"/>
        <v>1</v>
      </c>
      <c r="N231" s="98" t="s">
        <v>64</v>
      </c>
      <c r="O231" s="99" t="s">
        <v>65</v>
      </c>
      <c r="P231" s="100">
        <f t="shared" si="66"/>
        <v>1</v>
      </c>
      <c r="Q231" s="101">
        <f t="shared" si="71"/>
        <v>0</v>
      </c>
      <c r="R231" s="101">
        <f t="shared" si="72"/>
        <v>0</v>
      </c>
      <c r="S231" s="102" t="s">
        <v>56</v>
      </c>
      <c r="T231" s="98">
        <f t="shared" si="67"/>
        <v>0</v>
      </c>
      <c r="U231" s="27" t="str">
        <f t="shared" si="68"/>
        <v>SUBDIRECCION DE GESTION CONTRACTUAL</v>
      </c>
      <c r="V231" s="91" t="str">
        <f t="shared" si="69"/>
        <v>CO-DC</v>
      </c>
      <c r="W231" s="27" t="str">
        <f t="shared" si="70"/>
        <v>Distrito Capital de Bogotá</v>
      </c>
      <c r="X231" s="103" t="s">
        <v>340</v>
      </c>
      <c r="Y231" s="91">
        <v>2427400</v>
      </c>
      <c r="Z231" s="105" t="s">
        <v>341</v>
      </c>
    </row>
    <row r="232" spans="1:26" s="5" customFormat="1" ht="12.75" hidden="1" customHeight="1" x14ac:dyDescent="0.2">
      <c r="A232" s="90" t="s">
        <v>336</v>
      </c>
      <c r="B232" s="91">
        <f t="shared" si="73"/>
        <v>20</v>
      </c>
      <c r="C232" s="92" t="s">
        <v>355</v>
      </c>
      <c r="D232" s="92" t="s">
        <v>356</v>
      </c>
      <c r="E232" s="93"/>
      <c r="F232" s="93">
        <v>330630000</v>
      </c>
      <c r="G232" s="93"/>
      <c r="H232" s="94" t="s">
        <v>350</v>
      </c>
      <c r="I232" s="76" t="s">
        <v>351</v>
      </c>
      <c r="J232" s="95">
        <v>7</v>
      </c>
      <c r="K232" s="95">
        <v>7</v>
      </c>
      <c r="L232" s="97">
        <v>5</v>
      </c>
      <c r="M232" s="91">
        <f t="shared" si="65"/>
        <v>1</v>
      </c>
      <c r="N232" s="98" t="s">
        <v>64</v>
      </c>
      <c r="O232" s="99" t="s">
        <v>65</v>
      </c>
      <c r="P232" s="100">
        <f t="shared" si="66"/>
        <v>1</v>
      </c>
      <c r="Q232" s="101">
        <f t="shared" si="71"/>
        <v>330630000</v>
      </c>
      <c r="R232" s="101">
        <f t="shared" si="72"/>
        <v>330630000</v>
      </c>
      <c r="S232" s="102" t="s">
        <v>56</v>
      </c>
      <c r="T232" s="98">
        <f t="shared" si="67"/>
        <v>0</v>
      </c>
      <c r="U232" s="27" t="str">
        <f t="shared" si="68"/>
        <v>SUBDIRECCION DE GESTION CONTRACTUAL</v>
      </c>
      <c r="V232" s="91" t="str">
        <f t="shared" si="69"/>
        <v>CO-DC</v>
      </c>
      <c r="W232" s="27" t="str">
        <f t="shared" si="70"/>
        <v>Distrito Capital de Bogotá</v>
      </c>
      <c r="X232" s="103" t="s">
        <v>340</v>
      </c>
      <c r="Y232" s="91">
        <v>2427400</v>
      </c>
      <c r="Z232" s="105" t="s">
        <v>341</v>
      </c>
    </row>
    <row r="233" spans="1:26" s="5" customFormat="1" ht="12.75" hidden="1" customHeight="1" x14ac:dyDescent="0.2">
      <c r="A233" s="90" t="s">
        <v>336</v>
      </c>
      <c r="B233" s="91">
        <f t="shared" si="73"/>
        <v>21</v>
      </c>
      <c r="C233" s="92" t="s">
        <v>355</v>
      </c>
      <c r="D233" s="92" t="s">
        <v>356</v>
      </c>
      <c r="E233" s="93"/>
      <c r="F233" s="93">
        <v>264504000</v>
      </c>
      <c r="G233" s="93"/>
      <c r="H233" s="94" t="s">
        <v>346</v>
      </c>
      <c r="I233" s="76" t="s">
        <v>347</v>
      </c>
      <c r="J233" s="95">
        <v>7</v>
      </c>
      <c r="K233" s="95">
        <v>7</v>
      </c>
      <c r="L233" s="97">
        <v>5</v>
      </c>
      <c r="M233" s="91">
        <f t="shared" si="65"/>
        <v>1</v>
      </c>
      <c r="N233" s="98" t="s">
        <v>64</v>
      </c>
      <c r="O233" s="99" t="s">
        <v>65</v>
      </c>
      <c r="P233" s="100">
        <f t="shared" si="66"/>
        <v>1</v>
      </c>
      <c r="Q233" s="101">
        <f t="shared" si="71"/>
        <v>264504000</v>
      </c>
      <c r="R233" s="101">
        <f t="shared" si="72"/>
        <v>264504000</v>
      </c>
      <c r="S233" s="102" t="s">
        <v>56</v>
      </c>
      <c r="T233" s="98">
        <f t="shared" si="67"/>
        <v>0</v>
      </c>
      <c r="U233" s="27" t="str">
        <f t="shared" si="68"/>
        <v>SUBDIRECCION DE GESTION CONTRACTUAL</v>
      </c>
      <c r="V233" s="91" t="str">
        <f t="shared" si="69"/>
        <v>CO-DC</v>
      </c>
      <c r="W233" s="27" t="str">
        <f t="shared" si="70"/>
        <v>Distrito Capital de Bogotá</v>
      </c>
      <c r="X233" s="103" t="s">
        <v>340</v>
      </c>
      <c r="Y233" s="91">
        <v>2427400</v>
      </c>
      <c r="Z233" s="105" t="s">
        <v>341</v>
      </c>
    </row>
    <row r="234" spans="1:26" s="5" customFormat="1" ht="12.75" hidden="1" customHeight="1" x14ac:dyDescent="0.2">
      <c r="A234" s="90" t="s">
        <v>336</v>
      </c>
      <c r="B234" s="91">
        <f t="shared" si="73"/>
        <v>22</v>
      </c>
      <c r="C234" s="92" t="s">
        <v>357</v>
      </c>
      <c r="D234" s="92" t="s">
        <v>358</v>
      </c>
      <c r="E234" s="93"/>
      <c r="F234" s="93">
        <v>1388265011.8870001</v>
      </c>
      <c r="G234" s="93"/>
      <c r="H234" s="94">
        <v>80111600</v>
      </c>
      <c r="I234" s="76" t="s">
        <v>339</v>
      </c>
      <c r="J234" s="95">
        <v>1</v>
      </c>
      <c r="K234" s="96">
        <v>1</v>
      </c>
      <c r="L234" s="97">
        <v>12</v>
      </c>
      <c r="M234" s="91">
        <f t="shared" si="65"/>
        <v>1</v>
      </c>
      <c r="N234" s="98" t="s">
        <v>54</v>
      </c>
      <c r="O234" s="99" t="s">
        <v>55</v>
      </c>
      <c r="P234" s="100">
        <f t="shared" si="66"/>
        <v>1</v>
      </c>
      <c r="Q234" s="101">
        <f t="shared" si="71"/>
        <v>1388265011.8870001</v>
      </c>
      <c r="R234" s="101">
        <f t="shared" si="72"/>
        <v>1388265011.8870001</v>
      </c>
      <c r="S234" s="102" t="s">
        <v>56</v>
      </c>
      <c r="T234" s="98">
        <f t="shared" si="67"/>
        <v>0</v>
      </c>
      <c r="U234" s="27" t="str">
        <f t="shared" si="68"/>
        <v>SUBDIRECCION DE GESTION CONTRACTUAL</v>
      </c>
      <c r="V234" s="91" t="str">
        <f t="shared" si="69"/>
        <v>CO-DC</v>
      </c>
      <c r="W234" s="27" t="str">
        <f t="shared" si="70"/>
        <v>Distrito Capital de Bogotá</v>
      </c>
      <c r="X234" s="103" t="s">
        <v>340</v>
      </c>
      <c r="Y234" s="91">
        <v>2427400</v>
      </c>
      <c r="Z234" s="105" t="s">
        <v>341</v>
      </c>
    </row>
    <row r="235" spans="1:26" s="5" customFormat="1" ht="12.75" hidden="1" customHeight="1" x14ac:dyDescent="0.2">
      <c r="A235" s="90" t="s">
        <v>336</v>
      </c>
      <c r="B235" s="91">
        <f t="shared" si="73"/>
        <v>23</v>
      </c>
      <c r="C235" s="92" t="s">
        <v>357</v>
      </c>
      <c r="D235" s="92" t="s">
        <v>358</v>
      </c>
      <c r="E235" s="93"/>
      <c r="F235" s="93">
        <v>155520000</v>
      </c>
      <c r="G235" s="93"/>
      <c r="H235" s="94" t="s">
        <v>59</v>
      </c>
      <c r="I235" s="76" t="s">
        <v>345</v>
      </c>
      <c r="J235" s="95">
        <v>3</v>
      </c>
      <c r="K235" s="96">
        <v>4</v>
      </c>
      <c r="L235" s="97">
        <v>9</v>
      </c>
      <c r="M235" s="91">
        <f t="shared" si="65"/>
        <v>1</v>
      </c>
      <c r="N235" s="98" t="s">
        <v>61</v>
      </c>
      <c r="O235" s="99" t="s">
        <v>62</v>
      </c>
      <c r="P235" s="100">
        <f t="shared" si="66"/>
        <v>1</v>
      </c>
      <c r="Q235" s="101">
        <f t="shared" si="71"/>
        <v>155520000</v>
      </c>
      <c r="R235" s="101">
        <f t="shared" si="72"/>
        <v>155520000</v>
      </c>
      <c r="S235" s="102" t="s">
        <v>56</v>
      </c>
      <c r="T235" s="98">
        <f t="shared" si="67"/>
        <v>0</v>
      </c>
      <c r="U235" s="27" t="str">
        <f t="shared" si="68"/>
        <v>SUBDIRECCION DE GESTION CONTRACTUAL</v>
      </c>
      <c r="V235" s="91" t="str">
        <f t="shared" si="69"/>
        <v>CO-DC</v>
      </c>
      <c r="W235" s="27" t="str">
        <f t="shared" si="70"/>
        <v>Distrito Capital de Bogotá</v>
      </c>
      <c r="X235" s="103" t="s">
        <v>162</v>
      </c>
      <c r="Y235" s="91">
        <v>2427400</v>
      </c>
      <c r="Z235" s="105" t="s">
        <v>163</v>
      </c>
    </row>
    <row r="236" spans="1:26" s="5" customFormat="1" ht="12.75" hidden="1" customHeight="1" x14ac:dyDescent="0.2">
      <c r="A236" s="90" t="s">
        <v>336</v>
      </c>
      <c r="B236" s="91">
        <f t="shared" si="73"/>
        <v>24</v>
      </c>
      <c r="C236" s="92" t="s">
        <v>357</v>
      </c>
      <c r="D236" s="92" t="s">
        <v>358</v>
      </c>
      <c r="E236" s="93"/>
      <c r="F236" s="93">
        <f>510000000+80000000</f>
        <v>590000000</v>
      </c>
      <c r="G236" s="93"/>
      <c r="H236" s="94" t="s">
        <v>67</v>
      </c>
      <c r="I236" s="76" t="s">
        <v>344</v>
      </c>
      <c r="J236" s="95">
        <v>2</v>
      </c>
      <c r="K236" s="96">
        <v>3</v>
      </c>
      <c r="L236" s="97">
        <v>9</v>
      </c>
      <c r="M236" s="91">
        <f t="shared" si="65"/>
        <v>1</v>
      </c>
      <c r="N236" s="98" t="s">
        <v>69</v>
      </c>
      <c r="O236" s="99" t="s">
        <v>70</v>
      </c>
      <c r="P236" s="100">
        <f t="shared" si="66"/>
        <v>1</v>
      </c>
      <c r="Q236" s="101">
        <f t="shared" si="71"/>
        <v>590000000</v>
      </c>
      <c r="R236" s="101">
        <f t="shared" si="72"/>
        <v>590000000</v>
      </c>
      <c r="S236" s="102" t="s">
        <v>56</v>
      </c>
      <c r="T236" s="98">
        <f t="shared" si="67"/>
        <v>0</v>
      </c>
      <c r="U236" s="27" t="str">
        <f t="shared" si="68"/>
        <v>SUBDIRECCION DE GESTION CONTRACTUAL</v>
      </c>
      <c r="V236" s="91" t="str">
        <f t="shared" si="69"/>
        <v>CO-DC</v>
      </c>
      <c r="W236" s="27" t="str">
        <f t="shared" si="70"/>
        <v>Distrito Capital de Bogotá</v>
      </c>
      <c r="X236" s="103" t="s">
        <v>340</v>
      </c>
      <c r="Y236" s="91">
        <v>2427400</v>
      </c>
      <c r="Z236" s="105" t="s">
        <v>341</v>
      </c>
    </row>
    <row r="237" spans="1:26" s="5" customFormat="1" ht="12.75" hidden="1" customHeight="1" x14ac:dyDescent="0.2">
      <c r="A237" s="90" t="s">
        <v>336</v>
      </c>
      <c r="B237" s="91">
        <f t="shared" si="73"/>
        <v>25</v>
      </c>
      <c r="C237" s="92" t="s">
        <v>357</v>
      </c>
      <c r="D237" s="92" t="s">
        <v>358</v>
      </c>
      <c r="E237" s="93"/>
      <c r="F237" s="93">
        <f>2070778427.13-2070778427.13</f>
        <v>0</v>
      </c>
      <c r="G237" s="93"/>
      <c r="H237" s="94" t="s">
        <v>182</v>
      </c>
      <c r="I237" s="76" t="s">
        <v>348</v>
      </c>
      <c r="J237" s="95">
        <v>5</v>
      </c>
      <c r="K237" s="161">
        <v>6</v>
      </c>
      <c r="L237" s="97">
        <v>6</v>
      </c>
      <c r="M237" s="91">
        <f t="shared" si="65"/>
        <v>1</v>
      </c>
      <c r="N237" s="98" t="s">
        <v>64</v>
      </c>
      <c r="O237" s="99" t="s">
        <v>65</v>
      </c>
      <c r="P237" s="100">
        <f t="shared" si="66"/>
        <v>1</v>
      </c>
      <c r="Q237" s="101">
        <f t="shared" si="71"/>
        <v>0</v>
      </c>
      <c r="R237" s="101">
        <f t="shared" si="72"/>
        <v>0</v>
      </c>
      <c r="S237" s="102" t="s">
        <v>56</v>
      </c>
      <c r="T237" s="98">
        <f t="shared" si="67"/>
        <v>0</v>
      </c>
      <c r="U237" s="27" t="str">
        <f t="shared" si="68"/>
        <v>SUBDIRECCION DE GESTION CONTRACTUAL</v>
      </c>
      <c r="V237" s="91" t="str">
        <f t="shared" si="69"/>
        <v>CO-DC</v>
      </c>
      <c r="W237" s="27" t="str">
        <f t="shared" si="70"/>
        <v>Distrito Capital de Bogotá</v>
      </c>
      <c r="X237" s="103" t="s">
        <v>340</v>
      </c>
      <c r="Y237" s="91">
        <v>2427400</v>
      </c>
      <c r="Z237" s="105" t="s">
        <v>341</v>
      </c>
    </row>
    <row r="238" spans="1:26" s="5" customFormat="1" ht="12.75" hidden="1" customHeight="1" x14ac:dyDescent="0.2">
      <c r="A238" s="90" t="s">
        <v>336</v>
      </c>
      <c r="B238" s="91">
        <f t="shared" si="73"/>
        <v>26</v>
      </c>
      <c r="C238" s="92" t="s">
        <v>359</v>
      </c>
      <c r="D238" s="92" t="s">
        <v>360</v>
      </c>
      <c r="E238" s="93"/>
      <c r="F238" s="93">
        <v>928459073.99864995</v>
      </c>
      <c r="G238" s="93"/>
      <c r="H238" s="94">
        <v>80111600</v>
      </c>
      <c r="I238" s="76" t="s">
        <v>339</v>
      </c>
      <c r="J238" s="95">
        <v>1</v>
      </c>
      <c r="K238" s="165">
        <v>1</v>
      </c>
      <c r="L238" s="97">
        <v>12</v>
      </c>
      <c r="M238" s="91">
        <f t="shared" si="65"/>
        <v>1</v>
      </c>
      <c r="N238" s="98" t="s">
        <v>54</v>
      </c>
      <c r="O238" s="99" t="s">
        <v>55</v>
      </c>
      <c r="P238" s="100">
        <f t="shared" si="66"/>
        <v>1</v>
      </c>
      <c r="Q238" s="101">
        <f t="shared" si="71"/>
        <v>928459073.99864995</v>
      </c>
      <c r="R238" s="101">
        <f t="shared" si="72"/>
        <v>928459073.99864995</v>
      </c>
      <c r="S238" s="102" t="s">
        <v>56</v>
      </c>
      <c r="T238" s="98">
        <f t="shared" si="67"/>
        <v>0</v>
      </c>
      <c r="U238" s="27" t="str">
        <f t="shared" si="68"/>
        <v>SUBDIRECCION DE GESTION CONTRACTUAL</v>
      </c>
      <c r="V238" s="91" t="str">
        <f t="shared" si="69"/>
        <v>CO-DC</v>
      </c>
      <c r="W238" s="27" t="str">
        <f t="shared" si="70"/>
        <v>Distrito Capital de Bogotá</v>
      </c>
      <c r="X238" s="103" t="s">
        <v>340</v>
      </c>
      <c r="Y238" s="91">
        <v>2427400</v>
      </c>
      <c r="Z238" s="105" t="s">
        <v>341</v>
      </c>
    </row>
    <row r="239" spans="1:26" s="5" customFormat="1" ht="12.75" hidden="1" customHeight="1" x14ac:dyDescent="0.2">
      <c r="A239" s="90" t="s">
        <v>336</v>
      </c>
      <c r="B239" s="91">
        <f t="shared" si="73"/>
        <v>27</v>
      </c>
      <c r="C239" s="92" t="s">
        <v>361</v>
      </c>
      <c r="D239" s="92" t="s">
        <v>360</v>
      </c>
      <c r="E239" s="93"/>
      <c r="F239" s="93">
        <v>460662816.76789999</v>
      </c>
      <c r="G239" s="93"/>
      <c r="H239" s="94">
        <v>80111600</v>
      </c>
      <c r="I239" s="76" t="s">
        <v>339</v>
      </c>
      <c r="J239" s="95">
        <v>1</v>
      </c>
      <c r="K239" s="165">
        <v>1</v>
      </c>
      <c r="L239" s="97">
        <v>12</v>
      </c>
      <c r="M239" s="91">
        <f t="shared" si="65"/>
        <v>1</v>
      </c>
      <c r="N239" s="98" t="s">
        <v>54</v>
      </c>
      <c r="O239" s="99" t="s">
        <v>55</v>
      </c>
      <c r="P239" s="100">
        <f t="shared" si="66"/>
        <v>1</v>
      </c>
      <c r="Q239" s="101">
        <f t="shared" si="71"/>
        <v>460662816.76789999</v>
      </c>
      <c r="R239" s="101">
        <f t="shared" si="72"/>
        <v>460662816.76789999</v>
      </c>
      <c r="S239" s="102" t="s">
        <v>56</v>
      </c>
      <c r="T239" s="98">
        <f t="shared" si="67"/>
        <v>0</v>
      </c>
      <c r="U239" s="27" t="str">
        <f t="shared" si="68"/>
        <v>SUBDIRECCION DE GESTION CONTRACTUAL</v>
      </c>
      <c r="V239" s="91" t="str">
        <f t="shared" si="69"/>
        <v>CO-DC</v>
      </c>
      <c r="W239" s="27" t="str">
        <f t="shared" si="70"/>
        <v>Distrito Capital de Bogotá</v>
      </c>
      <c r="X239" s="103" t="s">
        <v>340</v>
      </c>
      <c r="Y239" s="91">
        <v>2427400</v>
      </c>
      <c r="Z239" s="105" t="s">
        <v>341</v>
      </c>
    </row>
    <row r="240" spans="1:26" s="5" customFormat="1" ht="12.75" hidden="1" customHeight="1" x14ac:dyDescent="0.2">
      <c r="A240" s="90" t="s">
        <v>336</v>
      </c>
      <c r="B240" s="91">
        <f t="shared" si="73"/>
        <v>28</v>
      </c>
      <c r="C240" s="92" t="s">
        <v>359</v>
      </c>
      <c r="D240" s="92" t="s">
        <v>360</v>
      </c>
      <c r="E240" s="93"/>
      <c r="F240" s="93">
        <v>158400000</v>
      </c>
      <c r="G240" s="93"/>
      <c r="H240" s="94" t="s">
        <v>59</v>
      </c>
      <c r="I240" s="76" t="s">
        <v>345</v>
      </c>
      <c r="J240" s="95">
        <v>3</v>
      </c>
      <c r="K240" s="165">
        <v>4</v>
      </c>
      <c r="L240" s="97">
        <v>9</v>
      </c>
      <c r="M240" s="91">
        <f t="shared" si="65"/>
        <v>1</v>
      </c>
      <c r="N240" s="98" t="s">
        <v>61</v>
      </c>
      <c r="O240" s="99" t="s">
        <v>62</v>
      </c>
      <c r="P240" s="100">
        <f t="shared" si="66"/>
        <v>1</v>
      </c>
      <c r="Q240" s="101">
        <f t="shared" si="71"/>
        <v>158400000</v>
      </c>
      <c r="R240" s="101">
        <f t="shared" si="72"/>
        <v>158400000</v>
      </c>
      <c r="S240" s="102" t="s">
        <v>56</v>
      </c>
      <c r="T240" s="98">
        <f t="shared" si="67"/>
        <v>0</v>
      </c>
      <c r="U240" s="27" t="str">
        <f t="shared" si="68"/>
        <v>SUBDIRECCION DE GESTION CONTRACTUAL</v>
      </c>
      <c r="V240" s="91" t="str">
        <f t="shared" si="69"/>
        <v>CO-DC</v>
      </c>
      <c r="W240" s="27" t="str">
        <f t="shared" si="70"/>
        <v>Distrito Capital de Bogotá</v>
      </c>
      <c r="X240" s="103" t="s">
        <v>162</v>
      </c>
      <c r="Y240" s="91">
        <v>2427400</v>
      </c>
      <c r="Z240" s="105" t="s">
        <v>163</v>
      </c>
    </row>
    <row r="241" spans="1:26" s="5" customFormat="1" ht="12.75" hidden="1" customHeight="1" x14ac:dyDescent="0.2">
      <c r="A241" s="90" t="s">
        <v>336</v>
      </c>
      <c r="B241" s="91">
        <f t="shared" si="73"/>
        <v>29</v>
      </c>
      <c r="C241" s="92" t="s">
        <v>361</v>
      </c>
      <c r="D241" s="92" t="s">
        <v>360</v>
      </c>
      <c r="E241" s="93"/>
      <c r="F241" s="93">
        <v>60750000</v>
      </c>
      <c r="G241" s="93"/>
      <c r="H241" s="94" t="s">
        <v>59</v>
      </c>
      <c r="I241" s="76" t="s">
        <v>345</v>
      </c>
      <c r="J241" s="95">
        <v>3</v>
      </c>
      <c r="K241" s="96">
        <v>4</v>
      </c>
      <c r="L241" s="97">
        <v>9</v>
      </c>
      <c r="M241" s="91">
        <f t="shared" si="65"/>
        <v>1</v>
      </c>
      <c r="N241" s="98" t="s">
        <v>61</v>
      </c>
      <c r="O241" s="99" t="s">
        <v>62</v>
      </c>
      <c r="P241" s="100">
        <f t="shared" si="66"/>
        <v>1</v>
      </c>
      <c r="Q241" s="101">
        <f t="shared" si="71"/>
        <v>60750000</v>
      </c>
      <c r="R241" s="101">
        <f t="shared" si="72"/>
        <v>60750000</v>
      </c>
      <c r="S241" s="102" t="s">
        <v>56</v>
      </c>
      <c r="T241" s="98">
        <f t="shared" si="67"/>
        <v>0</v>
      </c>
      <c r="U241" s="27" t="str">
        <f t="shared" si="68"/>
        <v>SUBDIRECCION DE GESTION CONTRACTUAL</v>
      </c>
      <c r="V241" s="91" t="str">
        <f t="shared" si="69"/>
        <v>CO-DC</v>
      </c>
      <c r="W241" s="27" t="str">
        <f t="shared" si="70"/>
        <v>Distrito Capital de Bogotá</v>
      </c>
      <c r="X241" s="103" t="s">
        <v>162</v>
      </c>
      <c r="Y241" s="91">
        <v>2427400</v>
      </c>
      <c r="Z241" s="105" t="s">
        <v>163</v>
      </c>
    </row>
    <row r="242" spans="1:26" s="5" customFormat="1" ht="12.75" hidden="1" customHeight="1" x14ac:dyDescent="0.2">
      <c r="A242" s="90" t="s">
        <v>336</v>
      </c>
      <c r="B242" s="91">
        <f t="shared" si="73"/>
        <v>30</v>
      </c>
      <c r="C242" s="92" t="s">
        <v>359</v>
      </c>
      <c r="D242" s="92" t="s">
        <v>360</v>
      </c>
      <c r="E242" s="93"/>
      <c r="F242" s="93">
        <f>1486268992+200000000</f>
        <v>1686268992</v>
      </c>
      <c r="G242" s="93"/>
      <c r="H242" s="94" t="s">
        <v>67</v>
      </c>
      <c r="I242" s="76" t="s">
        <v>344</v>
      </c>
      <c r="J242" s="95">
        <v>2</v>
      </c>
      <c r="K242" s="96">
        <v>3</v>
      </c>
      <c r="L242" s="97">
        <v>9</v>
      </c>
      <c r="M242" s="91">
        <f t="shared" si="65"/>
        <v>1</v>
      </c>
      <c r="N242" s="98" t="s">
        <v>69</v>
      </c>
      <c r="O242" s="99" t="s">
        <v>70</v>
      </c>
      <c r="P242" s="100">
        <f t="shared" si="66"/>
        <v>1</v>
      </c>
      <c r="Q242" s="101">
        <f t="shared" si="71"/>
        <v>1686268992</v>
      </c>
      <c r="R242" s="101">
        <f t="shared" si="72"/>
        <v>1686268992</v>
      </c>
      <c r="S242" s="102" t="s">
        <v>56</v>
      </c>
      <c r="T242" s="98">
        <f t="shared" si="67"/>
        <v>0</v>
      </c>
      <c r="U242" s="27" t="str">
        <f t="shared" si="68"/>
        <v>SUBDIRECCION DE GESTION CONTRACTUAL</v>
      </c>
      <c r="V242" s="91" t="str">
        <f t="shared" si="69"/>
        <v>CO-DC</v>
      </c>
      <c r="W242" s="27" t="str">
        <f t="shared" si="70"/>
        <v>Distrito Capital de Bogotá</v>
      </c>
      <c r="X242" s="103" t="s">
        <v>340</v>
      </c>
      <c r="Y242" s="91">
        <v>2427400</v>
      </c>
      <c r="Z242" s="105" t="s">
        <v>341</v>
      </c>
    </row>
    <row r="243" spans="1:26" s="5" customFormat="1" ht="12.75" hidden="1" customHeight="1" x14ac:dyDescent="0.2">
      <c r="A243" s="90" t="s">
        <v>336</v>
      </c>
      <c r="B243" s="91">
        <f t="shared" si="73"/>
        <v>31</v>
      </c>
      <c r="C243" s="92" t="s">
        <v>361</v>
      </c>
      <c r="D243" s="92" t="s">
        <v>360</v>
      </c>
      <c r="E243" s="93"/>
      <c r="F243" s="93">
        <f>371000000+70000000</f>
        <v>441000000</v>
      </c>
      <c r="G243" s="93"/>
      <c r="H243" s="94" t="s">
        <v>67</v>
      </c>
      <c r="I243" s="76" t="s">
        <v>344</v>
      </c>
      <c r="J243" s="95">
        <v>2</v>
      </c>
      <c r="K243" s="96">
        <v>3</v>
      </c>
      <c r="L243" s="97">
        <v>9</v>
      </c>
      <c r="M243" s="91">
        <f t="shared" si="65"/>
        <v>1</v>
      </c>
      <c r="N243" s="98" t="s">
        <v>69</v>
      </c>
      <c r="O243" s="99" t="s">
        <v>70</v>
      </c>
      <c r="P243" s="100">
        <f t="shared" si="66"/>
        <v>1</v>
      </c>
      <c r="Q243" s="101">
        <f t="shared" si="71"/>
        <v>441000000</v>
      </c>
      <c r="R243" s="101">
        <f t="shared" si="72"/>
        <v>441000000</v>
      </c>
      <c r="S243" s="102" t="s">
        <v>56</v>
      </c>
      <c r="T243" s="98">
        <f t="shared" si="67"/>
        <v>0</v>
      </c>
      <c r="U243" s="27" t="str">
        <f t="shared" si="68"/>
        <v>SUBDIRECCION DE GESTION CONTRACTUAL</v>
      </c>
      <c r="V243" s="91" t="str">
        <f t="shared" si="69"/>
        <v>CO-DC</v>
      </c>
      <c r="W243" s="27" t="str">
        <f t="shared" si="70"/>
        <v>Distrito Capital de Bogotá</v>
      </c>
      <c r="X243" s="103" t="s">
        <v>340</v>
      </c>
      <c r="Y243" s="91">
        <v>2427400</v>
      </c>
      <c r="Z243" s="105" t="s">
        <v>341</v>
      </c>
    </row>
    <row r="244" spans="1:26" s="5" customFormat="1" ht="12.75" hidden="1" customHeight="1" x14ac:dyDescent="0.2">
      <c r="A244" s="90" t="s">
        <v>336</v>
      </c>
      <c r="B244" s="91">
        <f t="shared" si="73"/>
        <v>32</v>
      </c>
      <c r="C244" s="92" t="s">
        <v>359</v>
      </c>
      <c r="D244" s="92" t="s">
        <v>360</v>
      </c>
      <c r="E244" s="93"/>
      <c r="F244" s="93">
        <v>494400000</v>
      </c>
      <c r="G244" s="93"/>
      <c r="H244" s="94" t="s">
        <v>346</v>
      </c>
      <c r="I244" s="76" t="s">
        <v>347</v>
      </c>
      <c r="J244" s="95">
        <v>7</v>
      </c>
      <c r="K244" s="95">
        <v>7</v>
      </c>
      <c r="L244" s="97">
        <v>5</v>
      </c>
      <c r="M244" s="91">
        <f t="shared" ref="M244:M275" si="74">IF(ISBLANK(J244),"",1)</f>
        <v>1</v>
      </c>
      <c r="N244" s="98" t="s">
        <v>64</v>
      </c>
      <c r="O244" s="99" t="s">
        <v>65</v>
      </c>
      <c r="P244" s="100">
        <f t="shared" ref="P244:P275" si="75">IF(ISBLANK(N244),"",1)</f>
        <v>1</v>
      </c>
      <c r="Q244" s="101">
        <f t="shared" si="71"/>
        <v>494400000</v>
      </c>
      <c r="R244" s="101">
        <f t="shared" si="72"/>
        <v>494400000</v>
      </c>
      <c r="S244" s="102" t="s">
        <v>56</v>
      </c>
      <c r="T244" s="98">
        <f t="shared" ref="T244:T275" si="76">IF(ISBLANK(S244),"",IF(VALUE(S244)=0,0,IF(VALUE(S244)=1,3,"")))</f>
        <v>0</v>
      </c>
      <c r="U244" s="27" t="str">
        <f t="shared" ref="U244:U275" si="77">IF(ISBLANK(N244),"","SUBDIRECCION DE GESTION CONTRACTUAL")</f>
        <v>SUBDIRECCION DE GESTION CONTRACTUAL</v>
      </c>
      <c r="V244" s="91" t="str">
        <f t="shared" ref="V244:V275" si="78">IF(ISBLANK(N244),"","CO-DC")</f>
        <v>CO-DC</v>
      </c>
      <c r="W244" s="27" t="str">
        <f t="shared" ref="W244:W275" si="79">IF(ISBLANK(N244),"","Distrito Capital de Bogotá")</f>
        <v>Distrito Capital de Bogotá</v>
      </c>
      <c r="X244" s="103" t="s">
        <v>340</v>
      </c>
      <c r="Y244" s="91">
        <v>2427400</v>
      </c>
      <c r="Z244" s="105" t="s">
        <v>341</v>
      </c>
    </row>
    <row r="245" spans="1:26" s="5" customFormat="1" ht="12.75" hidden="1" customHeight="1" x14ac:dyDescent="0.2">
      <c r="A245" s="90" t="s">
        <v>336</v>
      </c>
      <c r="B245" s="91">
        <f t="shared" si="73"/>
        <v>33</v>
      </c>
      <c r="C245" s="92" t="s">
        <v>359</v>
      </c>
      <c r="D245" s="92" t="s">
        <v>360</v>
      </c>
      <c r="E245" s="93"/>
      <c r="F245" s="93">
        <f>1610000000-1610000000</f>
        <v>0</v>
      </c>
      <c r="G245" s="93"/>
      <c r="H245" s="94" t="s">
        <v>182</v>
      </c>
      <c r="I245" s="76" t="s">
        <v>348</v>
      </c>
      <c r="J245" s="95">
        <v>5</v>
      </c>
      <c r="K245" s="161">
        <v>6</v>
      </c>
      <c r="L245" s="97">
        <v>6</v>
      </c>
      <c r="M245" s="91">
        <f t="shared" si="74"/>
        <v>1</v>
      </c>
      <c r="N245" s="98" t="s">
        <v>64</v>
      </c>
      <c r="O245" s="99" t="s">
        <v>65</v>
      </c>
      <c r="P245" s="100">
        <f t="shared" si="75"/>
        <v>1</v>
      </c>
      <c r="Q245" s="101">
        <f t="shared" ref="Q245:Q276" si="80">+E245+F245+G245</f>
        <v>0</v>
      </c>
      <c r="R245" s="101">
        <f t="shared" ref="R245:R276" si="81">+F245</f>
        <v>0</v>
      </c>
      <c r="S245" s="102" t="s">
        <v>56</v>
      </c>
      <c r="T245" s="98">
        <f t="shared" si="76"/>
        <v>0</v>
      </c>
      <c r="U245" s="27" t="str">
        <f t="shared" si="77"/>
        <v>SUBDIRECCION DE GESTION CONTRACTUAL</v>
      </c>
      <c r="V245" s="91" t="str">
        <f t="shared" si="78"/>
        <v>CO-DC</v>
      </c>
      <c r="W245" s="27" t="str">
        <f t="shared" si="79"/>
        <v>Distrito Capital de Bogotá</v>
      </c>
      <c r="X245" s="103" t="s">
        <v>340</v>
      </c>
      <c r="Y245" s="91">
        <v>2427400</v>
      </c>
      <c r="Z245" s="105" t="s">
        <v>341</v>
      </c>
    </row>
    <row r="246" spans="1:26" s="5" customFormat="1" ht="12.75" hidden="1" customHeight="1" x14ac:dyDescent="0.2">
      <c r="A246" s="90" t="s">
        <v>336</v>
      </c>
      <c r="B246" s="91">
        <f t="shared" si="73"/>
        <v>34</v>
      </c>
      <c r="C246" s="92" t="s">
        <v>361</v>
      </c>
      <c r="D246" s="92" t="s">
        <v>360</v>
      </c>
      <c r="E246" s="93"/>
      <c r="F246" s="93">
        <f>575000000-575000000</f>
        <v>0</v>
      </c>
      <c r="G246" s="93"/>
      <c r="H246" s="94" t="s">
        <v>182</v>
      </c>
      <c r="I246" s="76" t="s">
        <v>348</v>
      </c>
      <c r="J246" s="95">
        <v>5</v>
      </c>
      <c r="K246" s="161">
        <v>6</v>
      </c>
      <c r="L246" s="97">
        <v>6</v>
      </c>
      <c r="M246" s="91">
        <f t="shared" si="74"/>
        <v>1</v>
      </c>
      <c r="N246" s="98" t="s">
        <v>64</v>
      </c>
      <c r="O246" s="99" t="s">
        <v>65</v>
      </c>
      <c r="P246" s="100">
        <f t="shared" si="75"/>
        <v>1</v>
      </c>
      <c r="Q246" s="101">
        <f t="shared" si="80"/>
        <v>0</v>
      </c>
      <c r="R246" s="101">
        <f t="shared" si="81"/>
        <v>0</v>
      </c>
      <c r="S246" s="102" t="s">
        <v>56</v>
      </c>
      <c r="T246" s="98">
        <f t="shared" si="76"/>
        <v>0</v>
      </c>
      <c r="U246" s="27" t="str">
        <f t="shared" si="77"/>
        <v>SUBDIRECCION DE GESTION CONTRACTUAL</v>
      </c>
      <c r="V246" s="91" t="str">
        <f t="shared" si="78"/>
        <v>CO-DC</v>
      </c>
      <c r="W246" s="27" t="str">
        <f t="shared" si="79"/>
        <v>Distrito Capital de Bogotá</v>
      </c>
      <c r="X246" s="103" t="s">
        <v>340</v>
      </c>
      <c r="Y246" s="91">
        <v>2427400</v>
      </c>
      <c r="Z246" s="105" t="s">
        <v>341</v>
      </c>
    </row>
    <row r="247" spans="1:26" s="5" customFormat="1" ht="12.75" hidden="1" customHeight="1" x14ac:dyDescent="0.2">
      <c r="A247" s="90" t="s">
        <v>336</v>
      </c>
      <c r="B247" s="91">
        <f t="shared" si="73"/>
        <v>35</v>
      </c>
      <c r="C247" s="92" t="s">
        <v>362</v>
      </c>
      <c r="D247" s="92" t="s">
        <v>363</v>
      </c>
      <c r="E247" s="93"/>
      <c r="F247" s="93">
        <v>1601373918</v>
      </c>
      <c r="G247" s="93"/>
      <c r="H247" s="94">
        <v>80111600</v>
      </c>
      <c r="I247" s="76" t="s">
        <v>339</v>
      </c>
      <c r="J247" s="95">
        <v>1</v>
      </c>
      <c r="K247" s="96">
        <v>1</v>
      </c>
      <c r="L247" s="97">
        <v>12</v>
      </c>
      <c r="M247" s="91">
        <f t="shared" si="74"/>
        <v>1</v>
      </c>
      <c r="N247" s="98" t="s">
        <v>54</v>
      </c>
      <c r="O247" s="99" t="s">
        <v>55</v>
      </c>
      <c r="P247" s="100">
        <f t="shared" si="75"/>
        <v>1</v>
      </c>
      <c r="Q247" s="101">
        <f t="shared" si="80"/>
        <v>1601373918</v>
      </c>
      <c r="R247" s="101">
        <f t="shared" si="81"/>
        <v>1601373918</v>
      </c>
      <c r="S247" s="102" t="s">
        <v>56</v>
      </c>
      <c r="T247" s="98">
        <f t="shared" si="76"/>
        <v>0</v>
      </c>
      <c r="U247" s="27" t="str">
        <f t="shared" si="77"/>
        <v>SUBDIRECCION DE GESTION CONTRACTUAL</v>
      </c>
      <c r="V247" s="91" t="str">
        <f t="shared" si="78"/>
        <v>CO-DC</v>
      </c>
      <c r="W247" s="27" t="str">
        <f t="shared" si="79"/>
        <v>Distrito Capital de Bogotá</v>
      </c>
      <c r="X247" s="103" t="s">
        <v>340</v>
      </c>
      <c r="Y247" s="91">
        <v>2427400</v>
      </c>
      <c r="Z247" s="105" t="s">
        <v>341</v>
      </c>
    </row>
    <row r="248" spans="1:26" s="5" customFormat="1" ht="12.75" hidden="1" customHeight="1" x14ac:dyDescent="0.2">
      <c r="A248" s="90" t="s">
        <v>336</v>
      </c>
      <c r="B248" s="91">
        <f t="shared" ref="B248:B282" si="82">+B247+1</f>
        <v>36</v>
      </c>
      <c r="C248" s="92" t="s">
        <v>362</v>
      </c>
      <c r="D248" s="92" t="s">
        <v>363</v>
      </c>
      <c r="E248" s="93"/>
      <c r="F248" s="93">
        <f>4656415718+329345102</f>
        <v>4985760820</v>
      </c>
      <c r="G248" s="93"/>
      <c r="H248" s="94" t="s">
        <v>67</v>
      </c>
      <c r="I248" s="76" t="s">
        <v>344</v>
      </c>
      <c r="J248" s="95">
        <v>2</v>
      </c>
      <c r="K248" s="96">
        <v>3</v>
      </c>
      <c r="L248" s="97">
        <v>9</v>
      </c>
      <c r="M248" s="91">
        <f t="shared" si="74"/>
        <v>1</v>
      </c>
      <c r="N248" s="98" t="s">
        <v>69</v>
      </c>
      <c r="O248" s="99" t="s">
        <v>70</v>
      </c>
      <c r="P248" s="100">
        <f t="shared" si="75"/>
        <v>1</v>
      </c>
      <c r="Q248" s="101">
        <f t="shared" si="80"/>
        <v>4985760820</v>
      </c>
      <c r="R248" s="101">
        <f t="shared" si="81"/>
        <v>4985760820</v>
      </c>
      <c r="S248" s="102" t="s">
        <v>56</v>
      </c>
      <c r="T248" s="98">
        <f t="shared" si="76"/>
        <v>0</v>
      </c>
      <c r="U248" s="27" t="str">
        <f t="shared" si="77"/>
        <v>SUBDIRECCION DE GESTION CONTRACTUAL</v>
      </c>
      <c r="V248" s="91" t="str">
        <f t="shared" si="78"/>
        <v>CO-DC</v>
      </c>
      <c r="W248" s="27" t="str">
        <f t="shared" si="79"/>
        <v>Distrito Capital de Bogotá</v>
      </c>
      <c r="X248" s="103" t="s">
        <v>340</v>
      </c>
      <c r="Y248" s="91">
        <v>2427400</v>
      </c>
      <c r="Z248" s="105" t="s">
        <v>341</v>
      </c>
    </row>
    <row r="249" spans="1:26" s="5" customFormat="1" ht="12.75" hidden="1" customHeight="1" x14ac:dyDescent="0.2">
      <c r="A249" s="90" t="s">
        <v>336</v>
      </c>
      <c r="B249" s="91">
        <f t="shared" si="82"/>
        <v>37</v>
      </c>
      <c r="C249" s="92" t="s">
        <v>362</v>
      </c>
      <c r="D249" s="92" t="s">
        <v>363</v>
      </c>
      <c r="E249" s="93"/>
      <c r="F249" s="93">
        <v>71280000</v>
      </c>
      <c r="G249" s="93"/>
      <c r="H249" s="94" t="s">
        <v>59</v>
      </c>
      <c r="I249" s="76" t="s">
        <v>345</v>
      </c>
      <c r="J249" s="95">
        <v>3</v>
      </c>
      <c r="K249" s="165">
        <v>4</v>
      </c>
      <c r="L249" s="97">
        <v>9</v>
      </c>
      <c r="M249" s="91">
        <f t="shared" si="74"/>
        <v>1</v>
      </c>
      <c r="N249" s="98" t="s">
        <v>61</v>
      </c>
      <c r="O249" s="99" t="s">
        <v>62</v>
      </c>
      <c r="P249" s="100">
        <f t="shared" si="75"/>
        <v>1</v>
      </c>
      <c r="Q249" s="101">
        <f t="shared" si="80"/>
        <v>71280000</v>
      </c>
      <c r="R249" s="101">
        <f t="shared" si="81"/>
        <v>71280000</v>
      </c>
      <c r="S249" s="102" t="s">
        <v>56</v>
      </c>
      <c r="T249" s="98">
        <f t="shared" si="76"/>
        <v>0</v>
      </c>
      <c r="U249" s="27" t="str">
        <f t="shared" si="77"/>
        <v>SUBDIRECCION DE GESTION CONTRACTUAL</v>
      </c>
      <c r="V249" s="91" t="str">
        <f t="shared" si="78"/>
        <v>CO-DC</v>
      </c>
      <c r="W249" s="27" t="str">
        <f t="shared" si="79"/>
        <v>Distrito Capital de Bogotá</v>
      </c>
      <c r="X249" s="103" t="s">
        <v>162</v>
      </c>
      <c r="Y249" s="91">
        <v>2427400</v>
      </c>
      <c r="Z249" s="105" t="s">
        <v>163</v>
      </c>
    </row>
    <row r="250" spans="1:26" s="5" customFormat="1" ht="12.75" hidden="1" customHeight="1" x14ac:dyDescent="0.2">
      <c r="A250" s="90" t="s">
        <v>336</v>
      </c>
      <c r="B250" s="91">
        <f t="shared" si="82"/>
        <v>38</v>
      </c>
      <c r="C250" s="92" t="s">
        <v>362</v>
      </c>
      <c r="D250" s="92" t="s">
        <v>363</v>
      </c>
      <c r="E250" s="93"/>
      <c r="F250" s="93">
        <v>180000000</v>
      </c>
      <c r="G250" s="93"/>
      <c r="H250" s="94" t="s">
        <v>203</v>
      </c>
      <c r="I250" s="76" t="s">
        <v>349</v>
      </c>
      <c r="J250" s="95">
        <v>8</v>
      </c>
      <c r="K250" s="165" t="s">
        <v>171</v>
      </c>
      <c r="L250" s="97">
        <v>4</v>
      </c>
      <c r="M250" s="91">
        <f t="shared" si="74"/>
        <v>1</v>
      </c>
      <c r="N250" s="98" t="s">
        <v>64</v>
      </c>
      <c r="O250" s="99" t="s">
        <v>65</v>
      </c>
      <c r="P250" s="100">
        <f t="shared" si="75"/>
        <v>1</v>
      </c>
      <c r="Q250" s="101">
        <f t="shared" si="80"/>
        <v>180000000</v>
      </c>
      <c r="R250" s="101">
        <f t="shared" si="81"/>
        <v>180000000</v>
      </c>
      <c r="S250" s="102" t="s">
        <v>56</v>
      </c>
      <c r="T250" s="98">
        <f t="shared" si="76"/>
        <v>0</v>
      </c>
      <c r="U250" s="27" t="str">
        <f t="shared" si="77"/>
        <v>SUBDIRECCION DE GESTION CONTRACTUAL</v>
      </c>
      <c r="V250" s="91" t="str">
        <f t="shared" si="78"/>
        <v>CO-DC</v>
      </c>
      <c r="W250" s="27" t="str">
        <f t="shared" si="79"/>
        <v>Distrito Capital de Bogotá</v>
      </c>
      <c r="X250" s="103" t="s">
        <v>121</v>
      </c>
      <c r="Y250" s="91">
        <v>2427400</v>
      </c>
      <c r="Z250" s="105" t="s">
        <v>122</v>
      </c>
    </row>
    <row r="251" spans="1:26" s="5" customFormat="1" ht="12.75" hidden="1" customHeight="1" x14ac:dyDescent="0.2">
      <c r="A251" s="90" t="s">
        <v>336</v>
      </c>
      <c r="B251" s="91">
        <f t="shared" si="82"/>
        <v>39</v>
      </c>
      <c r="C251" s="92" t="s">
        <v>364</v>
      </c>
      <c r="D251" s="92" t="s">
        <v>365</v>
      </c>
      <c r="E251" s="93"/>
      <c r="F251" s="93">
        <f>1752566308-45600000</f>
        <v>1706966308</v>
      </c>
      <c r="G251" s="93"/>
      <c r="H251" s="94">
        <v>80111600</v>
      </c>
      <c r="I251" s="76" t="s">
        <v>339</v>
      </c>
      <c r="J251" s="95">
        <v>1</v>
      </c>
      <c r="K251" s="96">
        <v>1</v>
      </c>
      <c r="L251" s="97">
        <v>12</v>
      </c>
      <c r="M251" s="91">
        <f t="shared" si="74"/>
        <v>1</v>
      </c>
      <c r="N251" s="98" t="s">
        <v>54</v>
      </c>
      <c r="O251" s="99" t="s">
        <v>55</v>
      </c>
      <c r="P251" s="100">
        <f t="shared" si="75"/>
        <v>1</v>
      </c>
      <c r="Q251" s="101">
        <f t="shared" si="80"/>
        <v>1706966308</v>
      </c>
      <c r="R251" s="101">
        <f t="shared" si="81"/>
        <v>1706966308</v>
      </c>
      <c r="S251" s="102" t="s">
        <v>56</v>
      </c>
      <c r="T251" s="98">
        <f t="shared" si="76"/>
        <v>0</v>
      </c>
      <c r="U251" s="27" t="str">
        <f t="shared" si="77"/>
        <v>SUBDIRECCION DE GESTION CONTRACTUAL</v>
      </c>
      <c r="V251" s="91" t="str">
        <f t="shared" si="78"/>
        <v>CO-DC</v>
      </c>
      <c r="W251" s="27" t="str">
        <f t="shared" si="79"/>
        <v>Distrito Capital de Bogotá</v>
      </c>
      <c r="X251" s="103" t="s">
        <v>340</v>
      </c>
      <c r="Y251" s="91">
        <v>2427400</v>
      </c>
      <c r="Z251" s="105" t="s">
        <v>341</v>
      </c>
    </row>
    <row r="252" spans="1:26" s="5" customFormat="1" ht="12.75" hidden="1" customHeight="1" x14ac:dyDescent="0.2">
      <c r="A252" s="90" t="s">
        <v>336</v>
      </c>
      <c r="B252" s="91">
        <f t="shared" si="82"/>
        <v>40</v>
      </c>
      <c r="C252" s="92" t="s">
        <v>364</v>
      </c>
      <c r="D252" s="92" t="s">
        <v>365</v>
      </c>
      <c r="E252" s="93">
        <v>84511564</v>
      </c>
      <c r="F252" s="93">
        <v>0</v>
      </c>
      <c r="G252" s="93"/>
      <c r="H252" s="94" t="s">
        <v>59</v>
      </c>
      <c r="I252" s="76" t="s">
        <v>345</v>
      </c>
      <c r="J252" s="95">
        <v>3</v>
      </c>
      <c r="K252" s="96">
        <v>4</v>
      </c>
      <c r="L252" s="97">
        <v>9</v>
      </c>
      <c r="M252" s="91">
        <f t="shared" si="74"/>
        <v>1</v>
      </c>
      <c r="N252" s="98" t="s">
        <v>61</v>
      </c>
      <c r="O252" s="99" t="s">
        <v>62</v>
      </c>
      <c r="P252" s="100">
        <f t="shared" si="75"/>
        <v>1</v>
      </c>
      <c r="Q252" s="101">
        <f t="shared" si="80"/>
        <v>84511564</v>
      </c>
      <c r="R252" s="101">
        <f t="shared" si="81"/>
        <v>0</v>
      </c>
      <c r="S252" s="102" t="s">
        <v>366</v>
      </c>
      <c r="T252" s="98">
        <f t="shared" si="76"/>
        <v>3</v>
      </c>
      <c r="U252" s="27" t="str">
        <f t="shared" si="77"/>
        <v>SUBDIRECCION DE GESTION CONTRACTUAL</v>
      </c>
      <c r="V252" s="91" t="str">
        <f t="shared" si="78"/>
        <v>CO-DC</v>
      </c>
      <c r="W252" s="27" t="str">
        <f t="shared" si="79"/>
        <v>Distrito Capital de Bogotá</v>
      </c>
      <c r="X252" s="103" t="s">
        <v>162</v>
      </c>
      <c r="Y252" s="91">
        <v>2427400</v>
      </c>
      <c r="Z252" s="105" t="s">
        <v>163</v>
      </c>
    </row>
    <row r="253" spans="1:26" s="5" customFormat="1" ht="12.75" hidden="1" customHeight="1" x14ac:dyDescent="0.2">
      <c r="A253" s="90" t="s">
        <v>336</v>
      </c>
      <c r="B253" s="91">
        <f t="shared" si="82"/>
        <v>41</v>
      </c>
      <c r="C253" s="92" t="s">
        <v>364</v>
      </c>
      <c r="D253" s="92" t="s">
        <v>365</v>
      </c>
      <c r="E253" s="93"/>
      <c r="F253" s="93">
        <v>42930000</v>
      </c>
      <c r="G253" s="93"/>
      <c r="H253" s="94" t="s">
        <v>59</v>
      </c>
      <c r="I253" s="76" t="s">
        <v>345</v>
      </c>
      <c r="J253" s="95">
        <v>3</v>
      </c>
      <c r="K253" s="96">
        <v>4</v>
      </c>
      <c r="L253" s="97">
        <v>9</v>
      </c>
      <c r="M253" s="91">
        <f t="shared" si="74"/>
        <v>1</v>
      </c>
      <c r="N253" s="98" t="s">
        <v>61</v>
      </c>
      <c r="O253" s="99" t="s">
        <v>62</v>
      </c>
      <c r="P253" s="100">
        <f t="shared" si="75"/>
        <v>1</v>
      </c>
      <c r="Q253" s="101">
        <f t="shared" si="80"/>
        <v>42930000</v>
      </c>
      <c r="R253" s="101">
        <f t="shared" si="81"/>
        <v>42930000</v>
      </c>
      <c r="S253" s="102" t="s">
        <v>56</v>
      </c>
      <c r="T253" s="98">
        <f t="shared" si="76"/>
        <v>0</v>
      </c>
      <c r="U253" s="27" t="str">
        <f t="shared" si="77"/>
        <v>SUBDIRECCION DE GESTION CONTRACTUAL</v>
      </c>
      <c r="V253" s="91" t="str">
        <f t="shared" si="78"/>
        <v>CO-DC</v>
      </c>
      <c r="W253" s="27" t="str">
        <f t="shared" si="79"/>
        <v>Distrito Capital de Bogotá</v>
      </c>
      <c r="X253" s="103" t="s">
        <v>162</v>
      </c>
      <c r="Y253" s="91">
        <v>2427400</v>
      </c>
      <c r="Z253" s="105" t="s">
        <v>163</v>
      </c>
    </row>
    <row r="254" spans="1:26" s="5" customFormat="1" ht="12.75" hidden="1" customHeight="1" x14ac:dyDescent="0.2">
      <c r="A254" s="90" t="s">
        <v>336</v>
      </c>
      <c r="B254" s="91">
        <f t="shared" si="82"/>
        <v>42</v>
      </c>
      <c r="C254" s="92" t="s">
        <v>364</v>
      </c>
      <c r="D254" s="92" t="s">
        <v>365</v>
      </c>
      <c r="E254" s="93"/>
      <c r="F254" s="93">
        <f>400000000+45600000-45600000</f>
        <v>400000000</v>
      </c>
      <c r="G254" s="93"/>
      <c r="H254" s="94" t="s">
        <v>71</v>
      </c>
      <c r="I254" s="76" t="s">
        <v>367</v>
      </c>
      <c r="J254" s="95">
        <v>2</v>
      </c>
      <c r="K254" s="96">
        <v>3</v>
      </c>
      <c r="L254" s="97">
        <v>10</v>
      </c>
      <c r="M254" s="91">
        <f t="shared" si="74"/>
        <v>1</v>
      </c>
      <c r="N254" s="98" t="s">
        <v>64</v>
      </c>
      <c r="O254" s="99" t="s">
        <v>65</v>
      </c>
      <c r="P254" s="100">
        <f t="shared" si="75"/>
        <v>1</v>
      </c>
      <c r="Q254" s="101">
        <f t="shared" si="80"/>
        <v>400000000</v>
      </c>
      <c r="R254" s="101">
        <f t="shared" si="81"/>
        <v>400000000</v>
      </c>
      <c r="S254" s="102" t="s">
        <v>366</v>
      </c>
      <c r="T254" s="98">
        <f t="shared" si="76"/>
        <v>3</v>
      </c>
      <c r="U254" s="27" t="str">
        <f t="shared" si="77"/>
        <v>SUBDIRECCION DE GESTION CONTRACTUAL</v>
      </c>
      <c r="V254" s="91" t="str">
        <f t="shared" si="78"/>
        <v>CO-DC</v>
      </c>
      <c r="W254" s="27" t="str">
        <f t="shared" si="79"/>
        <v>Distrito Capital de Bogotá</v>
      </c>
      <c r="X254" s="103" t="s">
        <v>340</v>
      </c>
      <c r="Y254" s="91">
        <v>2427400</v>
      </c>
      <c r="Z254" s="105" t="s">
        <v>341</v>
      </c>
    </row>
    <row r="255" spans="1:26" s="5" customFormat="1" ht="12.75" hidden="1" customHeight="1" x14ac:dyDescent="0.2">
      <c r="A255" s="90" t="s">
        <v>336</v>
      </c>
      <c r="B255" s="91">
        <f t="shared" si="82"/>
        <v>43</v>
      </c>
      <c r="C255" s="92" t="s">
        <v>364</v>
      </c>
      <c r="D255" s="92" t="s">
        <v>365</v>
      </c>
      <c r="E255" s="93"/>
      <c r="F255" s="93">
        <f>1800000000-1800000000</f>
        <v>0</v>
      </c>
      <c r="G255" s="93"/>
      <c r="H255" s="94" t="s">
        <v>182</v>
      </c>
      <c r="I255" s="76" t="s">
        <v>348</v>
      </c>
      <c r="J255" s="95">
        <v>5</v>
      </c>
      <c r="K255" s="161">
        <v>6</v>
      </c>
      <c r="L255" s="97">
        <v>6</v>
      </c>
      <c r="M255" s="91">
        <f t="shared" si="74"/>
        <v>1</v>
      </c>
      <c r="N255" s="98" t="s">
        <v>64</v>
      </c>
      <c r="O255" s="99" t="s">
        <v>65</v>
      </c>
      <c r="P255" s="100">
        <f t="shared" si="75"/>
        <v>1</v>
      </c>
      <c r="Q255" s="101">
        <f t="shared" si="80"/>
        <v>0</v>
      </c>
      <c r="R255" s="101">
        <f t="shared" si="81"/>
        <v>0</v>
      </c>
      <c r="S255" s="102" t="s">
        <v>56</v>
      </c>
      <c r="T255" s="98">
        <f t="shared" si="76"/>
        <v>0</v>
      </c>
      <c r="U255" s="27" t="str">
        <f t="shared" si="77"/>
        <v>SUBDIRECCION DE GESTION CONTRACTUAL</v>
      </c>
      <c r="V255" s="91" t="str">
        <f t="shared" si="78"/>
        <v>CO-DC</v>
      </c>
      <c r="W255" s="27" t="str">
        <f t="shared" si="79"/>
        <v>Distrito Capital de Bogotá</v>
      </c>
      <c r="X255" s="103" t="s">
        <v>340</v>
      </c>
      <c r="Y255" s="91">
        <v>2427400</v>
      </c>
      <c r="Z255" s="105" t="s">
        <v>341</v>
      </c>
    </row>
    <row r="256" spans="1:26" s="5" customFormat="1" ht="12.75" hidden="1" customHeight="1" x14ac:dyDescent="0.2">
      <c r="A256" s="90" t="s">
        <v>336</v>
      </c>
      <c r="B256" s="91">
        <f t="shared" si="82"/>
        <v>44</v>
      </c>
      <c r="C256" s="92" t="s">
        <v>342</v>
      </c>
      <c r="D256" s="92" t="s">
        <v>365</v>
      </c>
      <c r="E256" s="93"/>
      <c r="F256" s="93">
        <f>2700000000-2700000000</f>
        <v>0</v>
      </c>
      <c r="G256" s="93"/>
      <c r="H256" s="94" t="s">
        <v>182</v>
      </c>
      <c r="I256" s="76" t="s">
        <v>348</v>
      </c>
      <c r="J256" s="95">
        <v>5</v>
      </c>
      <c r="K256" s="166">
        <v>6</v>
      </c>
      <c r="L256" s="97">
        <v>6</v>
      </c>
      <c r="M256" s="91">
        <f t="shared" si="74"/>
        <v>1</v>
      </c>
      <c r="N256" s="98" t="s">
        <v>64</v>
      </c>
      <c r="O256" s="99" t="s">
        <v>65</v>
      </c>
      <c r="P256" s="100">
        <f t="shared" si="75"/>
        <v>1</v>
      </c>
      <c r="Q256" s="101">
        <f t="shared" si="80"/>
        <v>0</v>
      </c>
      <c r="R256" s="101">
        <f t="shared" si="81"/>
        <v>0</v>
      </c>
      <c r="S256" s="102" t="s">
        <v>56</v>
      </c>
      <c r="T256" s="98">
        <f t="shared" si="76"/>
        <v>0</v>
      </c>
      <c r="U256" s="27" t="str">
        <f t="shared" si="77"/>
        <v>SUBDIRECCION DE GESTION CONTRACTUAL</v>
      </c>
      <c r="V256" s="91" t="str">
        <f t="shared" si="78"/>
        <v>CO-DC</v>
      </c>
      <c r="W256" s="27" t="str">
        <f t="shared" si="79"/>
        <v>Distrito Capital de Bogotá</v>
      </c>
      <c r="X256" s="103" t="s">
        <v>340</v>
      </c>
      <c r="Y256" s="91">
        <v>2427400</v>
      </c>
      <c r="Z256" s="105" t="s">
        <v>341</v>
      </c>
    </row>
    <row r="257" spans="1:26" s="5" customFormat="1" ht="12.75" hidden="1" customHeight="1" x14ac:dyDescent="0.2">
      <c r="A257" s="90" t="s">
        <v>336</v>
      </c>
      <c r="B257" s="91">
        <f t="shared" si="82"/>
        <v>45</v>
      </c>
      <c r="C257" s="92" t="s">
        <v>368</v>
      </c>
      <c r="D257" s="92" t="s">
        <v>152</v>
      </c>
      <c r="E257" s="93"/>
      <c r="F257" s="93">
        <v>532873475.50294244</v>
      </c>
      <c r="G257" s="93"/>
      <c r="H257" s="94">
        <v>80111600</v>
      </c>
      <c r="I257" s="76" t="s">
        <v>339</v>
      </c>
      <c r="J257" s="95">
        <v>1</v>
      </c>
      <c r="K257" s="165">
        <v>1</v>
      </c>
      <c r="L257" s="97">
        <v>12</v>
      </c>
      <c r="M257" s="91">
        <f t="shared" si="74"/>
        <v>1</v>
      </c>
      <c r="N257" s="98" t="s">
        <v>54</v>
      </c>
      <c r="O257" s="99" t="s">
        <v>55</v>
      </c>
      <c r="P257" s="100">
        <f t="shared" si="75"/>
        <v>1</v>
      </c>
      <c r="Q257" s="101">
        <f t="shared" si="80"/>
        <v>532873475.50294244</v>
      </c>
      <c r="R257" s="101">
        <f t="shared" si="81"/>
        <v>532873475.50294244</v>
      </c>
      <c r="S257" s="102" t="s">
        <v>56</v>
      </c>
      <c r="T257" s="98">
        <f t="shared" si="76"/>
        <v>0</v>
      </c>
      <c r="U257" s="27" t="str">
        <f t="shared" si="77"/>
        <v>SUBDIRECCION DE GESTION CONTRACTUAL</v>
      </c>
      <c r="V257" s="91" t="str">
        <f t="shared" si="78"/>
        <v>CO-DC</v>
      </c>
      <c r="W257" s="27" t="str">
        <f t="shared" si="79"/>
        <v>Distrito Capital de Bogotá</v>
      </c>
      <c r="X257" s="103" t="s">
        <v>340</v>
      </c>
      <c r="Y257" s="91">
        <v>2427400</v>
      </c>
      <c r="Z257" s="105" t="s">
        <v>341</v>
      </c>
    </row>
    <row r="258" spans="1:26" s="5" customFormat="1" ht="12.75" hidden="1" customHeight="1" x14ac:dyDescent="0.2">
      <c r="A258" s="90" t="s">
        <v>336</v>
      </c>
      <c r="B258" s="91">
        <f t="shared" si="82"/>
        <v>46</v>
      </c>
      <c r="C258" s="92" t="s">
        <v>369</v>
      </c>
      <c r="D258" s="92" t="s">
        <v>152</v>
      </c>
      <c r="E258" s="93"/>
      <c r="F258" s="93">
        <v>462703317.26866001</v>
      </c>
      <c r="G258" s="93"/>
      <c r="H258" s="94">
        <v>80111600</v>
      </c>
      <c r="I258" s="76" t="s">
        <v>339</v>
      </c>
      <c r="J258" s="95">
        <v>1</v>
      </c>
      <c r="K258" s="165">
        <v>1</v>
      </c>
      <c r="L258" s="97">
        <v>12</v>
      </c>
      <c r="M258" s="91">
        <f t="shared" si="74"/>
        <v>1</v>
      </c>
      <c r="N258" s="98" t="s">
        <v>54</v>
      </c>
      <c r="O258" s="99" t="s">
        <v>55</v>
      </c>
      <c r="P258" s="100">
        <f t="shared" si="75"/>
        <v>1</v>
      </c>
      <c r="Q258" s="101">
        <f t="shared" si="80"/>
        <v>462703317.26866001</v>
      </c>
      <c r="R258" s="101">
        <f t="shared" si="81"/>
        <v>462703317.26866001</v>
      </c>
      <c r="S258" s="102" t="s">
        <v>56</v>
      </c>
      <c r="T258" s="98">
        <f t="shared" si="76"/>
        <v>0</v>
      </c>
      <c r="U258" s="27" t="str">
        <f t="shared" si="77"/>
        <v>SUBDIRECCION DE GESTION CONTRACTUAL</v>
      </c>
      <c r="V258" s="91" t="str">
        <f t="shared" si="78"/>
        <v>CO-DC</v>
      </c>
      <c r="W258" s="27" t="str">
        <f t="shared" si="79"/>
        <v>Distrito Capital de Bogotá</v>
      </c>
      <c r="X258" s="103" t="s">
        <v>340</v>
      </c>
      <c r="Y258" s="91">
        <v>2427400</v>
      </c>
      <c r="Z258" s="105" t="s">
        <v>341</v>
      </c>
    </row>
    <row r="259" spans="1:26" s="5" customFormat="1" ht="12.75" hidden="1" customHeight="1" x14ac:dyDescent="0.2">
      <c r="A259" s="90" t="s">
        <v>336</v>
      </c>
      <c r="B259" s="91">
        <f t="shared" si="82"/>
        <v>47</v>
      </c>
      <c r="C259" s="92" t="s">
        <v>370</v>
      </c>
      <c r="D259" s="92" t="s">
        <v>152</v>
      </c>
      <c r="E259" s="93"/>
      <c r="F259" s="93">
        <v>344578782.46415001</v>
      </c>
      <c r="G259" s="93"/>
      <c r="H259" s="94">
        <v>80111600</v>
      </c>
      <c r="I259" s="76" t="s">
        <v>339</v>
      </c>
      <c r="J259" s="95">
        <v>1</v>
      </c>
      <c r="K259" s="96">
        <v>1</v>
      </c>
      <c r="L259" s="97">
        <v>12</v>
      </c>
      <c r="M259" s="91">
        <f t="shared" si="74"/>
        <v>1</v>
      </c>
      <c r="N259" s="98" t="s">
        <v>54</v>
      </c>
      <c r="O259" s="99" t="s">
        <v>55</v>
      </c>
      <c r="P259" s="100">
        <f t="shared" si="75"/>
        <v>1</v>
      </c>
      <c r="Q259" s="101">
        <f t="shared" si="80"/>
        <v>344578782.46415001</v>
      </c>
      <c r="R259" s="101">
        <f t="shared" si="81"/>
        <v>344578782.46415001</v>
      </c>
      <c r="S259" s="102" t="s">
        <v>56</v>
      </c>
      <c r="T259" s="98">
        <f t="shared" si="76"/>
        <v>0</v>
      </c>
      <c r="U259" s="27" t="str">
        <f t="shared" si="77"/>
        <v>SUBDIRECCION DE GESTION CONTRACTUAL</v>
      </c>
      <c r="V259" s="91" t="str">
        <f t="shared" si="78"/>
        <v>CO-DC</v>
      </c>
      <c r="W259" s="27" t="str">
        <f t="shared" si="79"/>
        <v>Distrito Capital de Bogotá</v>
      </c>
      <c r="X259" s="103" t="s">
        <v>340</v>
      </c>
      <c r="Y259" s="91">
        <v>2427400</v>
      </c>
      <c r="Z259" s="105" t="s">
        <v>341</v>
      </c>
    </row>
    <row r="260" spans="1:26" s="5" customFormat="1" ht="12.75" hidden="1" customHeight="1" x14ac:dyDescent="0.2">
      <c r="A260" s="90" t="s">
        <v>336</v>
      </c>
      <c r="B260" s="91">
        <f t="shared" si="82"/>
        <v>48</v>
      </c>
      <c r="C260" s="92" t="s">
        <v>368</v>
      </c>
      <c r="D260" s="92" t="s">
        <v>152</v>
      </c>
      <c r="E260" s="93"/>
      <c r="F260" s="93">
        <f>265237115-380000+380000</f>
        <v>265237115</v>
      </c>
      <c r="G260" s="93"/>
      <c r="H260" s="94" t="s">
        <v>67</v>
      </c>
      <c r="I260" s="76" t="s">
        <v>344</v>
      </c>
      <c r="J260" s="95">
        <v>2</v>
      </c>
      <c r="K260" s="96">
        <v>3</v>
      </c>
      <c r="L260" s="97">
        <v>9</v>
      </c>
      <c r="M260" s="91">
        <f t="shared" si="74"/>
        <v>1</v>
      </c>
      <c r="N260" s="98" t="s">
        <v>69</v>
      </c>
      <c r="O260" s="99" t="s">
        <v>70</v>
      </c>
      <c r="P260" s="100">
        <f t="shared" si="75"/>
        <v>1</v>
      </c>
      <c r="Q260" s="101">
        <f t="shared" si="80"/>
        <v>265237115</v>
      </c>
      <c r="R260" s="101">
        <f t="shared" si="81"/>
        <v>265237115</v>
      </c>
      <c r="S260" s="102" t="s">
        <v>56</v>
      </c>
      <c r="T260" s="98">
        <f t="shared" si="76"/>
        <v>0</v>
      </c>
      <c r="U260" s="27" t="str">
        <f t="shared" si="77"/>
        <v>SUBDIRECCION DE GESTION CONTRACTUAL</v>
      </c>
      <c r="V260" s="91" t="str">
        <f t="shared" si="78"/>
        <v>CO-DC</v>
      </c>
      <c r="W260" s="27" t="str">
        <f t="shared" si="79"/>
        <v>Distrito Capital de Bogotá</v>
      </c>
      <c r="X260" s="103" t="s">
        <v>340</v>
      </c>
      <c r="Y260" s="91">
        <v>2427400</v>
      </c>
      <c r="Z260" s="105" t="s">
        <v>341</v>
      </c>
    </row>
    <row r="261" spans="1:26" s="5" customFormat="1" ht="12.75" hidden="1" customHeight="1" x14ac:dyDescent="0.2">
      <c r="A261" s="90" t="s">
        <v>336</v>
      </c>
      <c r="B261" s="91">
        <f t="shared" si="82"/>
        <v>49</v>
      </c>
      <c r="C261" s="92" t="s">
        <v>369</v>
      </c>
      <c r="D261" s="92" t="s">
        <v>152</v>
      </c>
      <c r="E261" s="93"/>
      <c r="F261" s="93">
        <f>1392000000+60000000-184400000</f>
        <v>1267600000</v>
      </c>
      <c r="G261" s="93"/>
      <c r="H261" s="94" t="s">
        <v>67</v>
      </c>
      <c r="I261" s="76" t="s">
        <v>344</v>
      </c>
      <c r="J261" s="95">
        <v>2</v>
      </c>
      <c r="K261" s="96">
        <v>3</v>
      </c>
      <c r="L261" s="97">
        <v>9</v>
      </c>
      <c r="M261" s="91">
        <f t="shared" si="74"/>
        <v>1</v>
      </c>
      <c r="N261" s="98" t="s">
        <v>69</v>
      </c>
      <c r="O261" s="99" t="s">
        <v>70</v>
      </c>
      <c r="P261" s="100">
        <f t="shared" si="75"/>
        <v>1</v>
      </c>
      <c r="Q261" s="101">
        <f t="shared" si="80"/>
        <v>1267600000</v>
      </c>
      <c r="R261" s="101">
        <f t="shared" si="81"/>
        <v>1267600000</v>
      </c>
      <c r="S261" s="102" t="s">
        <v>56</v>
      </c>
      <c r="T261" s="98">
        <f t="shared" si="76"/>
        <v>0</v>
      </c>
      <c r="U261" s="27" t="str">
        <f t="shared" si="77"/>
        <v>SUBDIRECCION DE GESTION CONTRACTUAL</v>
      </c>
      <c r="V261" s="91" t="str">
        <f t="shared" si="78"/>
        <v>CO-DC</v>
      </c>
      <c r="W261" s="27" t="str">
        <f t="shared" si="79"/>
        <v>Distrito Capital de Bogotá</v>
      </c>
      <c r="X261" s="103" t="s">
        <v>340</v>
      </c>
      <c r="Y261" s="91">
        <v>2427400</v>
      </c>
      <c r="Z261" s="105" t="s">
        <v>341</v>
      </c>
    </row>
    <row r="262" spans="1:26" s="5" customFormat="1" ht="12.75" hidden="1" customHeight="1" x14ac:dyDescent="0.2">
      <c r="A262" s="90" t="s">
        <v>336</v>
      </c>
      <c r="B262" s="91">
        <f t="shared" si="82"/>
        <v>50</v>
      </c>
      <c r="C262" s="92" t="s">
        <v>368</v>
      </c>
      <c r="D262" s="92" t="s">
        <v>152</v>
      </c>
      <c r="E262" s="93"/>
      <c r="F262" s="93">
        <f>1600000000-1600000000</f>
        <v>0</v>
      </c>
      <c r="G262" s="93"/>
      <c r="H262" s="94" t="s">
        <v>182</v>
      </c>
      <c r="I262" s="76" t="s">
        <v>348</v>
      </c>
      <c r="J262" s="95">
        <v>5</v>
      </c>
      <c r="K262" s="166">
        <v>6</v>
      </c>
      <c r="L262" s="97">
        <v>6</v>
      </c>
      <c r="M262" s="91">
        <f t="shared" si="74"/>
        <v>1</v>
      </c>
      <c r="N262" s="98" t="s">
        <v>64</v>
      </c>
      <c r="O262" s="99" t="s">
        <v>65</v>
      </c>
      <c r="P262" s="100">
        <f t="shared" si="75"/>
        <v>1</v>
      </c>
      <c r="Q262" s="101">
        <f t="shared" si="80"/>
        <v>0</v>
      </c>
      <c r="R262" s="101">
        <f t="shared" si="81"/>
        <v>0</v>
      </c>
      <c r="S262" s="102" t="s">
        <v>56</v>
      </c>
      <c r="T262" s="98">
        <f t="shared" si="76"/>
        <v>0</v>
      </c>
      <c r="U262" s="27" t="str">
        <f t="shared" si="77"/>
        <v>SUBDIRECCION DE GESTION CONTRACTUAL</v>
      </c>
      <c r="V262" s="91" t="str">
        <f t="shared" si="78"/>
        <v>CO-DC</v>
      </c>
      <c r="W262" s="27" t="str">
        <f t="shared" si="79"/>
        <v>Distrito Capital de Bogotá</v>
      </c>
      <c r="X262" s="103" t="s">
        <v>340</v>
      </c>
      <c r="Y262" s="91">
        <v>2427400</v>
      </c>
      <c r="Z262" s="105" t="s">
        <v>341</v>
      </c>
    </row>
    <row r="263" spans="1:26" s="5" customFormat="1" ht="12.75" hidden="1" customHeight="1" x14ac:dyDescent="0.2">
      <c r="A263" s="90" t="s">
        <v>336</v>
      </c>
      <c r="B263" s="91">
        <f t="shared" si="82"/>
        <v>51</v>
      </c>
      <c r="C263" s="92" t="s">
        <v>369</v>
      </c>
      <c r="D263" s="92" t="s">
        <v>152</v>
      </c>
      <c r="E263" s="93"/>
      <c r="F263" s="93">
        <f>1440000000-1440000000</f>
        <v>0</v>
      </c>
      <c r="G263" s="93"/>
      <c r="H263" s="94" t="s">
        <v>182</v>
      </c>
      <c r="I263" s="76" t="s">
        <v>348</v>
      </c>
      <c r="J263" s="95">
        <v>5</v>
      </c>
      <c r="K263" s="161">
        <v>6</v>
      </c>
      <c r="L263" s="97">
        <v>6</v>
      </c>
      <c r="M263" s="91">
        <f t="shared" si="74"/>
        <v>1</v>
      </c>
      <c r="N263" s="98" t="s">
        <v>64</v>
      </c>
      <c r="O263" s="99" t="s">
        <v>65</v>
      </c>
      <c r="P263" s="100">
        <f t="shared" si="75"/>
        <v>1</v>
      </c>
      <c r="Q263" s="101">
        <f t="shared" si="80"/>
        <v>0</v>
      </c>
      <c r="R263" s="101">
        <f t="shared" si="81"/>
        <v>0</v>
      </c>
      <c r="S263" s="102" t="s">
        <v>56</v>
      </c>
      <c r="T263" s="98">
        <f t="shared" si="76"/>
        <v>0</v>
      </c>
      <c r="U263" s="27" t="str">
        <f t="shared" si="77"/>
        <v>SUBDIRECCION DE GESTION CONTRACTUAL</v>
      </c>
      <c r="V263" s="91" t="str">
        <f t="shared" si="78"/>
        <v>CO-DC</v>
      </c>
      <c r="W263" s="27" t="str">
        <f t="shared" si="79"/>
        <v>Distrito Capital de Bogotá</v>
      </c>
      <c r="X263" s="103" t="s">
        <v>340</v>
      </c>
      <c r="Y263" s="91">
        <v>2427400</v>
      </c>
      <c r="Z263" s="105" t="s">
        <v>341</v>
      </c>
    </row>
    <row r="264" spans="1:26" s="5" customFormat="1" ht="12.75" hidden="1" customHeight="1" x14ac:dyDescent="0.2">
      <c r="A264" s="90" t="s">
        <v>336</v>
      </c>
      <c r="B264" s="91">
        <f t="shared" si="82"/>
        <v>52</v>
      </c>
      <c r="C264" s="92" t="s">
        <v>342</v>
      </c>
      <c r="D264" s="92" t="s">
        <v>338</v>
      </c>
      <c r="E264" s="93"/>
      <c r="F264" s="93">
        <f>1600000000-1600000000</f>
        <v>0</v>
      </c>
      <c r="G264" s="93"/>
      <c r="H264" s="94" t="s">
        <v>182</v>
      </c>
      <c r="I264" s="76" t="s">
        <v>348</v>
      </c>
      <c r="J264" s="95">
        <v>5</v>
      </c>
      <c r="K264" s="161">
        <v>6</v>
      </c>
      <c r="L264" s="97">
        <v>6</v>
      </c>
      <c r="M264" s="91">
        <f t="shared" si="74"/>
        <v>1</v>
      </c>
      <c r="N264" s="98" t="s">
        <v>64</v>
      </c>
      <c r="O264" s="99" t="s">
        <v>65</v>
      </c>
      <c r="P264" s="100">
        <f t="shared" si="75"/>
        <v>1</v>
      </c>
      <c r="Q264" s="101">
        <f t="shared" si="80"/>
        <v>0</v>
      </c>
      <c r="R264" s="101">
        <f t="shared" si="81"/>
        <v>0</v>
      </c>
      <c r="S264" s="102" t="s">
        <v>56</v>
      </c>
      <c r="T264" s="98">
        <f t="shared" si="76"/>
        <v>0</v>
      </c>
      <c r="U264" s="27" t="str">
        <f t="shared" si="77"/>
        <v>SUBDIRECCION DE GESTION CONTRACTUAL</v>
      </c>
      <c r="V264" s="91" t="str">
        <f t="shared" si="78"/>
        <v>CO-DC</v>
      </c>
      <c r="W264" s="27" t="str">
        <f t="shared" si="79"/>
        <v>Distrito Capital de Bogotá</v>
      </c>
      <c r="X264" s="103" t="s">
        <v>340</v>
      </c>
      <c r="Y264" s="91">
        <v>2427400</v>
      </c>
      <c r="Z264" s="105" t="s">
        <v>341</v>
      </c>
    </row>
    <row r="265" spans="1:26" s="5" customFormat="1" ht="12.75" hidden="1" customHeight="1" x14ac:dyDescent="0.2">
      <c r="A265" s="90" t="s">
        <v>336</v>
      </c>
      <c r="B265" s="91">
        <f t="shared" si="82"/>
        <v>53</v>
      </c>
      <c r="C265" s="92" t="s">
        <v>368</v>
      </c>
      <c r="D265" s="92" t="s">
        <v>152</v>
      </c>
      <c r="E265" s="93"/>
      <c r="F265" s="93">
        <v>14606577</v>
      </c>
      <c r="G265" s="93"/>
      <c r="H265" s="94" t="s">
        <v>59</v>
      </c>
      <c r="I265" s="76" t="s">
        <v>345</v>
      </c>
      <c r="J265" s="95">
        <v>3</v>
      </c>
      <c r="K265" s="96">
        <v>4</v>
      </c>
      <c r="L265" s="97">
        <v>9</v>
      </c>
      <c r="M265" s="91">
        <f t="shared" si="74"/>
        <v>1</v>
      </c>
      <c r="N265" s="98" t="s">
        <v>61</v>
      </c>
      <c r="O265" s="99" t="s">
        <v>62</v>
      </c>
      <c r="P265" s="100">
        <f t="shared" si="75"/>
        <v>1</v>
      </c>
      <c r="Q265" s="101">
        <f t="shared" si="80"/>
        <v>14606577</v>
      </c>
      <c r="R265" s="101">
        <f t="shared" si="81"/>
        <v>14606577</v>
      </c>
      <c r="S265" s="102" t="s">
        <v>56</v>
      </c>
      <c r="T265" s="98">
        <f t="shared" si="76"/>
        <v>0</v>
      </c>
      <c r="U265" s="27" t="str">
        <f t="shared" si="77"/>
        <v>SUBDIRECCION DE GESTION CONTRACTUAL</v>
      </c>
      <c r="V265" s="91" t="str">
        <f t="shared" si="78"/>
        <v>CO-DC</v>
      </c>
      <c r="W265" s="27" t="str">
        <f t="shared" si="79"/>
        <v>Distrito Capital de Bogotá</v>
      </c>
      <c r="X265" s="103" t="s">
        <v>162</v>
      </c>
      <c r="Y265" s="91">
        <v>2427400</v>
      </c>
      <c r="Z265" s="105" t="s">
        <v>163</v>
      </c>
    </row>
    <row r="266" spans="1:26" s="5" customFormat="1" ht="12.75" hidden="1" customHeight="1" x14ac:dyDescent="0.2">
      <c r="A266" s="90" t="s">
        <v>336</v>
      </c>
      <c r="B266" s="91">
        <f t="shared" si="82"/>
        <v>54</v>
      </c>
      <c r="C266" s="92" t="s">
        <v>369</v>
      </c>
      <c r="D266" s="92" t="s">
        <v>152</v>
      </c>
      <c r="E266" s="93"/>
      <c r="F266" s="93">
        <v>106920000</v>
      </c>
      <c r="G266" s="93"/>
      <c r="H266" s="94" t="s">
        <v>59</v>
      </c>
      <c r="I266" s="76" t="s">
        <v>345</v>
      </c>
      <c r="J266" s="95">
        <v>3</v>
      </c>
      <c r="K266" s="96">
        <v>4</v>
      </c>
      <c r="L266" s="97">
        <v>9</v>
      </c>
      <c r="M266" s="91">
        <f t="shared" si="74"/>
        <v>1</v>
      </c>
      <c r="N266" s="98" t="s">
        <v>61</v>
      </c>
      <c r="O266" s="99" t="s">
        <v>62</v>
      </c>
      <c r="P266" s="100">
        <f t="shared" si="75"/>
        <v>1</v>
      </c>
      <c r="Q266" s="101">
        <f t="shared" si="80"/>
        <v>106920000</v>
      </c>
      <c r="R266" s="101">
        <f t="shared" si="81"/>
        <v>106920000</v>
      </c>
      <c r="S266" s="102" t="s">
        <v>56</v>
      </c>
      <c r="T266" s="98">
        <f t="shared" si="76"/>
        <v>0</v>
      </c>
      <c r="U266" s="27" t="str">
        <f t="shared" si="77"/>
        <v>SUBDIRECCION DE GESTION CONTRACTUAL</v>
      </c>
      <c r="V266" s="91" t="str">
        <f t="shared" si="78"/>
        <v>CO-DC</v>
      </c>
      <c r="W266" s="27" t="str">
        <f t="shared" si="79"/>
        <v>Distrito Capital de Bogotá</v>
      </c>
      <c r="X266" s="103" t="s">
        <v>162</v>
      </c>
      <c r="Y266" s="91">
        <v>2427400</v>
      </c>
      <c r="Z266" s="105" t="s">
        <v>163</v>
      </c>
    </row>
    <row r="267" spans="1:26" s="5" customFormat="1" ht="12.75" hidden="1" customHeight="1" x14ac:dyDescent="0.2">
      <c r="A267" s="90" t="s">
        <v>336</v>
      </c>
      <c r="B267" s="91">
        <f t="shared" si="82"/>
        <v>55</v>
      </c>
      <c r="C267" s="92" t="s">
        <v>370</v>
      </c>
      <c r="D267" s="92" t="s">
        <v>152</v>
      </c>
      <c r="E267" s="93"/>
      <c r="F267" s="93">
        <v>48600000</v>
      </c>
      <c r="G267" s="93"/>
      <c r="H267" s="94" t="s">
        <v>59</v>
      </c>
      <c r="I267" s="76" t="s">
        <v>345</v>
      </c>
      <c r="J267" s="95">
        <v>3</v>
      </c>
      <c r="K267" s="96">
        <v>4</v>
      </c>
      <c r="L267" s="97">
        <v>9</v>
      </c>
      <c r="M267" s="91">
        <f t="shared" si="74"/>
        <v>1</v>
      </c>
      <c r="N267" s="98" t="s">
        <v>61</v>
      </c>
      <c r="O267" s="99" t="s">
        <v>62</v>
      </c>
      <c r="P267" s="100">
        <f t="shared" si="75"/>
        <v>1</v>
      </c>
      <c r="Q267" s="101">
        <f t="shared" si="80"/>
        <v>48600000</v>
      </c>
      <c r="R267" s="101">
        <f t="shared" si="81"/>
        <v>48600000</v>
      </c>
      <c r="S267" s="102" t="s">
        <v>56</v>
      </c>
      <c r="T267" s="98">
        <f t="shared" si="76"/>
        <v>0</v>
      </c>
      <c r="U267" s="27" t="str">
        <f t="shared" si="77"/>
        <v>SUBDIRECCION DE GESTION CONTRACTUAL</v>
      </c>
      <c r="V267" s="91" t="str">
        <f t="shared" si="78"/>
        <v>CO-DC</v>
      </c>
      <c r="W267" s="27" t="str">
        <f t="shared" si="79"/>
        <v>Distrito Capital de Bogotá</v>
      </c>
      <c r="X267" s="103" t="s">
        <v>162</v>
      </c>
      <c r="Y267" s="91">
        <v>2427400</v>
      </c>
      <c r="Z267" s="105" t="s">
        <v>163</v>
      </c>
    </row>
    <row r="268" spans="1:26" s="5" customFormat="1" ht="12.75" hidden="1" customHeight="1" x14ac:dyDescent="0.2">
      <c r="A268" s="90" t="s">
        <v>336</v>
      </c>
      <c r="B268" s="91">
        <f t="shared" si="82"/>
        <v>56</v>
      </c>
      <c r="C268" s="92" t="s">
        <v>368</v>
      </c>
      <c r="D268" s="92" t="s">
        <v>152</v>
      </c>
      <c r="E268" s="93"/>
      <c r="F268" s="93">
        <v>27000000</v>
      </c>
      <c r="G268" s="93"/>
      <c r="H268" s="94" t="s">
        <v>353</v>
      </c>
      <c r="I268" s="76" t="s">
        <v>354</v>
      </c>
      <c r="J268" s="95">
        <v>5</v>
      </c>
      <c r="K268" s="161">
        <v>6</v>
      </c>
      <c r="L268" s="97">
        <v>6</v>
      </c>
      <c r="M268" s="91">
        <f t="shared" si="74"/>
        <v>1</v>
      </c>
      <c r="N268" s="98" t="s">
        <v>64</v>
      </c>
      <c r="O268" s="99" t="s">
        <v>65</v>
      </c>
      <c r="P268" s="100">
        <f t="shared" si="75"/>
        <v>1</v>
      </c>
      <c r="Q268" s="101">
        <f t="shared" si="80"/>
        <v>27000000</v>
      </c>
      <c r="R268" s="101">
        <f t="shared" si="81"/>
        <v>27000000</v>
      </c>
      <c r="S268" s="102" t="s">
        <v>56</v>
      </c>
      <c r="T268" s="98">
        <f t="shared" si="76"/>
        <v>0</v>
      </c>
      <c r="U268" s="27" t="str">
        <f t="shared" si="77"/>
        <v>SUBDIRECCION DE GESTION CONTRACTUAL</v>
      </c>
      <c r="V268" s="91" t="str">
        <f t="shared" si="78"/>
        <v>CO-DC</v>
      </c>
      <c r="W268" s="27" t="str">
        <f t="shared" si="79"/>
        <v>Distrito Capital de Bogotá</v>
      </c>
      <c r="X268" s="103" t="s">
        <v>340</v>
      </c>
      <c r="Y268" s="91">
        <v>2427400</v>
      </c>
      <c r="Z268" s="105" t="s">
        <v>341</v>
      </c>
    </row>
    <row r="269" spans="1:26" s="5" customFormat="1" ht="12.75" hidden="1" customHeight="1" x14ac:dyDescent="0.2">
      <c r="A269" s="90" t="s">
        <v>336</v>
      </c>
      <c r="B269" s="91">
        <f t="shared" si="82"/>
        <v>57</v>
      </c>
      <c r="C269" s="92" t="s">
        <v>371</v>
      </c>
      <c r="D269" s="92" t="s">
        <v>372</v>
      </c>
      <c r="E269" s="93"/>
      <c r="F269" s="93">
        <f>4731015587-182284447-1000000000+653284447+200000000</f>
        <v>4402015587</v>
      </c>
      <c r="G269" s="93"/>
      <c r="H269" s="94">
        <v>80111600</v>
      </c>
      <c r="I269" s="141" t="s">
        <v>373</v>
      </c>
      <c r="J269" s="95">
        <v>1</v>
      </c>
      <c r="K269" s="96">
        <v>1</v>
      </c>
      <c r="L269" s="97">
        <v>12</v>
      </c>
      <c r="M269" s="91">
        <f t="shared" si="74"/>
        <v>1</v>
      </c>
      <c r="N269" s="98" t="s">
        <v>54</v>
      </c>
      <c r="O269" s="99" t="s">
        <v>55</v>
      </c>
      <c r="P269" s="100">
        <f t="shared" si="75"/>
        <v>1</v>
      </c>
      <c r="Q269" s="101">
        <f t="shared" si="80"/>
        <v>4402015587</v>
      </c>
      <c r="R269" s="101">
        <f t="shared" si="81"/>
        <v>4402015587</v>
      </c>
      <c r="S269" s="102" t="s">
        <v>56</v>
      </c>
      <c r="T269" s="98">
        <f t="shared" si="76"/>
        <v>0</v>
      </c>
      <c r="U269" s="27" t="str">
        <f t="shared" si="77"/>
        <v>SUBDIRECCION DE GESTION CONTRACTUAL</v>
      </c>
      <c r="V269" s="91" t="str">
        <f t="shared" si="78"/>
        <v>CO-DC</v>
      </c>
      <c r="W269" s="27" t="str">
        <f t="shared" si="79"/>
        <v>Distrito Capital de Bogotá</v>
      </c>
      <c r="X269" s="103" t="s">
        <v>340</v>
      </c>
      <c r="Y269" s="91">
        <v>2427400</v>
      </c>
      <c r="Z269" s="105" t="s">
        <v>341</v>
      </c>
    </row>
    <row r="270" spans="1:26" s="5" customFormat="1" ht="12.75" hidden="1" customHeight="1" x14ac:dyDescent="0.2">
      <c r="A270" s="90" t="s">
        <v>336</v>
      </c>
      <c r="B270" s="91">
        <f t="shared" si="82"/>
        <v>58</v>
      </c>
      <c r="C270" s="92" t="s">
        <v>371</v>
      </c>
      <c r="D270" s="92" t="s">
        <v>372</v>
      </c>
      <c r="E270" s="93"/>
      <c r="F270" s="93">
        <f>3375904460+163647055</f>
        <v>3539551515</v>
      </c>
      <c r="G270" s="93"/>
      <c r="H270" s="94" t="s">
        <v>67</v>
      </c>
      <c r="I270" s="76" t="s">
        <v>344</v>
      </c>
      <c r="J270" s="95">
        <v>2</v>
      </c>
      <c r="K270" s="96">
        <v>3</v>
      </c>
      <c r="L270" s="97">
        <v>9</v>
      </c>
      <c r="M270" s="91">
        <f t="shared" si="74"/>
        <v>1</v>
      </c>
      <c r="N270" s="98" t="s">
        <v>69</v>
      </c>
      <c r="O270" s="99" t="s">
        <v>70</v>
      </c>
      <c r="P270" s="100">
        <f t="shared" si="75"/>
        <v>1</v>
      </c>
      <c r="Q270" s="101">
        <f t="shared" si="80"/>
        <v>3539551515</v>
      </c>
      <c r="R270" s="101">
        <f t="shared" si="81"/>
        <v>3539551515</v>
      </c>
      <c r="S270" s="102" t="s">
        <v>56</v>
      </c>
      <c r="T270" s="98">
        <f t="shared" si="76"/>
        <v>0</v>
      </c>
      <c r="U270" s="27" t="str">
        <f t="shared" si="77"/>
        <v>SUBDIRECCION DE GESTION CONTRACTUAL</v>
      </c>
      <c r="V270" s="91" t="str">
        <f t="shared" si="78"/>
        <v>CO-DC</v>
      </c>
      <c r="W270" s="27" t="str">
        <f t="shared" si="79"/>
        <v>Distrito Capital de Bogotá</v>
      </c>
      <c r="X270" s="103" t="s">
        <v>340</v>
      </c>
      <c r="Y270" s="91">
        <v>2427400</v>
      </c>
      <c r="Z270" s="105" t="s">
        <v>341</v>
      </c>
    </row>
    <row r="271" spans="1:26" s="5" customFormat="1" ht="12.75" hidden="1" customHeight="1" x14ac:dyDescent="0.2">
      <c r="A271" s="90" t="s">
        <v>336</v>
      </c>
      <c r="B271" s="91">
        <f t="shared" si="82"/>
        <v>59</v>
      </c>
      <c r="C271" s="92" t="s">
        <v>364</v>
      </c>
      <c r="D271" s="92" t="s">
        <v>365</v>
      </c>
      <c r="E271" s="93"/>
      <c r="F271" s="93">
        <v>300000000</v>
      </c>
      <c r="G271" s="93"/>
      <c r="H271" s="94" t="s">
        <v>91</v>
      </c>
      <c r="I271" s="76" t="s">
        <v>374</v>
      </c>
      <c r="J271" s="104">
        <v>11</v>
      </c>
      <c r="K271" s="104">
        <v>11</v>
      </c>
      <c r="L271" s="97">
        <v>2</v>
      </c>
      <c r="M271" s="91" t="s">
        <v>375</v>
      </c>
      <c r="N271" s="98" t="s">
        <v>87</v>
      </c>
      <c r="O271" s="99" t="s">
        <v>88</v>
      </c>
      <c r="P271" s="100">
        <f t="shared" si="75"/>
        <v>1</v>
      </c>
      <c r="Q271" s="101">
        <f t="shared" si="80"/>
        <v>300000000</v>
      </c>
      <c r="R271" s="101">
        <f t="shared" si="81"/>
        <v>300000000</v>
      </c>
      <c r="S271" s="102" t="s">
        <v>56</v>
      </c>
      <c r="T271" s="98">
        <f t="shared" si="76"/>
        <v>0</v>
      </c>
      <c r="U271" s="27" t="str">
        <f t="shared" si="77"/>
        <v>SUBDIRECCION DE GESTION CONTRACTUAL</v>
      </c>
      <c r="V271" s="91" t="str">
        <f t="shared" si="78"/>
        <v>CO-DC</v>
      </c>
      <c r="W271" s="27" t="str">
        <f t="shared" si="79"/>
        <v>Distrito Capital de Bogotá</v>
      </c>
      <c r="X271" s="103" t="s">
        <v>89</v>
      </c>
      <c r="Y271" s="91">
        <v>2427400</v>
      </c>
      <c r="Z271" s="105" t="s">
        <v>90</v>
      </c>
    </row>
    <row r="272" spans="1:26" s="5" customFormat="1" ht="12.75" hidden="1" customHeight="1" x14ac:dyDescent="0.2">
      <c r="A272" s="90" t="s">
        <v>336</v>
      </c>
      <c r="B272" s="91">
        <f t="shared" si="82"/>
        <v>60</v>
      </c>
      <c r="C272" s="92" t="s">
        <v>337</v>
      </c>
      <c r="D272" s="92" t="s">
        <v>338</v>
      </c>
      <c r="E272" s="93"/>
      <c r="F272" s="93">
        <f>325175000-325175000</f>
        <v>0</v>
      </c>
      <c r="G272" s="93"/>
      <c r="H272" s="94" t="s">
        <v>67</v>
      </c>
      <c r="I272" s="76" t="s">
        <v>344</v>
      </c>
      <c r="J272" s="124">
        <v>1</v>
      </c>
      <c r="K272" s="124">
        <v>2</v>
      </c>
      <c r="L272" s="124">
        <v>3</v>
      </c>
      <c r="M272" s="91">
        <f t="shared" si="74"/>
        <v>1</v>
      </c>
      <c r="N272" s="98" t="s">
        <v>64</v>
      </c>
      <c r="O272" s="99" t="s">
        <v>65</v>
      </c>
      <c r="P272" s="100">
        <f t="shared" si="75"/>
        <v>1</v>
      </c>
      <c r="Q272" s="101">
        <f t="shared" si="80"/>
        <v>0</v>
      </c>
      <c r="R272" s="101">
        <f t="shared" si="81"/>
        <v>0</v>
      </c>
      <c r="S272" s="102" t="s">
        <v>56</v>
      </c>
      <c r="T272" s="98">
        <f t="shared" si="76"/>
        <v>0</v>
      </c>
      <c r="U272" s="27" t="str">
        <f t="shared" si="77"/>
        <v>SUBDIRECCION DE GESTION CONTRACTUAL</v>
      </c>
      <c r="V272" s="91" t="str">
        <f t="shared" si="78"/>
        <v>CO-DC</v>
      </c>
      <c r="W272" s="27" t="str">
        <f t="shared" si="79"/>
        <v>Distrito Capital de Bogotá</v>
      </c>
      <c r="X272" s="103" t="s">
        <v>340</v>
      </c>
      <c r="Y272" s="91">
        <v>2427400</v>
      </c>
      <c r="Z272" s="105" t="s">
        <v>341</v>
      </c>
    </row>
    <row r="273" spans="1:26" s="5" customFormat="1" ht="12.75" hidden="1" customHeight="1" x14ac:dyDescent="0.2">
      <c r="A273" s="90" t="s">
        <v>336</v>
      </c>
      <c r="B273" s="91">
        <f t="shared" si="82"/>
        <v>61</v>
      </c>
      <c r="C273" s="92" t="s">
        <v>342</v>
      </c>
      <c r="D273" s="92" t="s">
        <v>338</v>
      </c>
      <c r="E273" s="93"/>
      <c r="F273" s="93">
        <f>96000000-96000000</f>
        <v>0</v>
      </c>
      <c r="G273" s="93"/>
      <c r="H273" s="94" t="s">
        <v>67</v>
      </c>
      <c r="I273" s="76" t="s">
        <v>344</v>
      </c>
      <c r="J273" s="124">
        <v>1</v>
      </c>
      <c r="K273" s="124">
        <v>2</v>
      </c>
      <c r="L273" s="124">
        <v>3</v>
      </c>
      <c r="M273" s="91">
        <f t="shared" si="74"/>
        <v>1</v>
      </c>
      <c r="N273" s="98" t="s">
        <v>64</v>
      </c>
      <c r="O273" s="99" t="s">
        <v>65</v>
      </c>
      <c r="P273" s="100">
        <f t="shared" si="75"/>
        <v>1</v>
      </c>
      <c r="Q273" s="101">
        <f t="shared" si="80"/>
        <v>0</v>
      </c>
      <c r="R273" s="101">
        <f t="shared" si="81"/>
        <v>0</v>
      </c>
      <c r="S273" s="102" t="s">
        <v>56</v>
      </c>
      <c r="T273" s="98">
        <f t="shared" si="76"/>
        <v>0</v>
      </c>
      <c r="U273" s="27" t="str">
        <f t="shared" si="77"/>
        <v>SUBDIRECCION DE GESTION CONTRACTUAL</v>
      </c>
      <c r="V273" s="91" t="str">
        <f t="shared" si="78"/>
        <v>CO-DC</v>
      </c>
      <c r="W273" s="27" t="str">
        <f t="shared" si="79"/>
        <v>Distrito Capital de Bogotá</v>
      </c>
      <c r="X273" s="103" t="s">
        <v>340</v>
      </c>
      <c r="Y273" s="91">
        <v>2427400</v>
      </c>
      <c r="Z273" s="105" t="s">
        <v>341</v>
      </c>
    </row>
    <row r="274" spans="1:26" s="5" customFormat="1" ht="12.75" hidden="1" customHeight="1" x14ac:dyDescent="0.2">
      <c r="A274" s="90" t="s">
        <v>336</v>
      </c>
      <c r="B274" s="91">
        <f t="shared" si="82"/>
        <v>62</v>
      </c>
      <c r="C274" s="92" t="s">
        <v>343</v>
      </c>
      <c r="D274" s="92" t="s">
        <v>338</v>
      </c>
      <c r="E274" s="93"/>
      <c r="F274" s="93">
        <f>942450000-865200000-77250000</f>
        <v>0</v>
      </c>
      <c r="G274" s="93"/>
      <c r="H274" s="94" t="s">
        <v>67</v>
      </c>
      <c r="I274" s="76" t="s">
        <v>344</v>
      </c>
      <c r="J274" s="124">
        <v>1</v>
      </c>
      <c r="K274" s="124">
        <v>2</v>
      </c>
      <c r="L274" s="124">
        <v>3</v>
      </c>
      <c r="M274" s="91">
        <f t="shared" si="74"/>
        <v>1</v>
      </c>
      <c r="N274" s="98" t="s">
        <v>64</v>
      </c>
      <c r="O274" s="99" t="s">
        <v>65</v>
      </c>
      <c r="P274" s="100">
        <f t="shared" si="75"/>
        <v>1</v>
      </c>
      <c r="Q274" s="101">
        <f t="shared" si="80"/>
        <v>0</v>
      </c>
      <c r="R274" s="101">
        <f t="shared" si="81"/>
        <v>0</v>
      </c>
      <c r="S274" s="102" t="s">
        <v>56</v>
      </c>
      <c r="T274" s="98">
        <f t="shared" si="76"/>
        <v>0</v>
      </c>
      <c r="U274" s="27" t="str">
        <f t="shared" si="77"/>
        <v>SUBDIRECCION DE GESTION CONTRACTUAL</v>
      </c>
      <c r="V274" s="91" t="str">
        <f t="shared" si="78"/>
        <v>CO-DC</v>
      </c>
      <c r="W274" s="27" t="str">
        <f t="shared" si="79"/>
        <v>Distrito Capital de Bogotá</v>
      </c>
      <c r="X274" s="103" t="s">
        <v>340</v>
      </c>
      <c r="Y274" s="91">
        <v>2427400</v>
      </c>
      <c r="Z274" s="105" t="s">
        <v>341</v>
      </c>
    </row>
    <row r="275" spans="1:26" s="5" customFormat="1" ht="12.75" hidden="1" customHeight="1" x14ac:dyDescent="0.2">
      <c r="A275" s="90" t="s">
        <v>336</v>
      </c>
      <c r="B275" s="91">
        <f t="shared" si="82"/>
        <v>63</v>
      </c>
      <c r="C275" s="92" t="s">
        <v>355</v>
      </c>
      <c r="D275" s="92" t="s">
        <v>356</v>
      </c>
      <c r="E275" s="93"/>
      <c r="F275" s="93">
        <f>198202843-198202843</f>
        <v>0</v>
      </c>
      <c r="G275" s="93"/>
      <c r="H275" s="94" t="s">
        <v>67</v>
      </c>
      <c r="I275" s="76" t="s">
        <v>344</v>
      </c>
      <c r="J275" s="124">
        <v>1</v>
      </c>
      <c r="K275" s="124">
        <v>2</v>
      </c>
      <c r="L275" s="124">
        <v>3</v>
      </c>
      <c r="M275" s="91">
        <f t="shared" si="74"/>
        <v>1</v>
      </c>
      <c r="N275" s="98" t="s">
        <v>64</v>
      </c>
      <c r="O275" s="99" t="s">
        <v>65</v>
      </c>
      <c r="P275" s="100">
        <f t="shared" si="75"/>
        <v>1</v>
      </c>
      <c r="Q275" s="101">
        <f t="shared" si="80"/>
        <v>0</v>
      </c>
      <c r="R275" s="101">
        <f t="shared" si="81"/>
        <v>0</v>
      </c>
      <c r="S275" s="102" t="s">
        <v>56</v>
      </c>
      <c r="T275" s="98">
        <f t="shared" si="76"/>
        <v>0</v>
      </c>
      <c r="U275" s="27" t="str">
        <f t="shared" si="77"/>
        <v>SUBDIRECCION DE GESTION CONTRACTUAL</v>
      </c>
      <c r="V275" s="91" t="str">
        <f t="shared" si="78"/>
        <v>CO-DC</v>
      </c>
      <c r="W275" s="27" t="str">
        <f t="shared" si="79"/>
        <v>Distrito Capital de Bogotá</v>
      </c>
      <c r="X275" s="103" t="s">
        <v>340</v>
      </c>
      <c r="Y275" s="91">
        <v>2427400</v>
      </c>
      <c r="Z275" s="105" t="s">
        <v>341</v>
      </c>
    </row>
    <row r="276" spans="1:26" s="5" customFormat="1" ht="12.75" hidden="1" customHeight="1" x14ac:dyDescent="0.2">
      <c r="A276" s="90" t="s">
        <v>336</v>
      </c>
      <c r="B276" s="91">
        <f t="shared" si="82"/>
        <v>64</v>
      </c>
      <c r="C276" s="92" t="s">
        <v>357</v>
      </c>
      <c r="D276" s="92" t="s">
        <v>358</v>
      </c>
      <c r="E276" s="93"/>
      <c r="F276" s="93">
        <f>80000000-80000000</f>
        <v>0</v>
      </c>
      <c r="G276" s="93"/>
      <c r="H276" s="94" t="s">
        <v>67</v>
      </c>
      <c r="I276" s="76" t="s">
        <v>344</v>
      </c>
      <c r="J276" s="124">
        <v>1</v>
      </c>
      <c r="K276" s="124">
        <v>2</v>
      </c>
      <c r="L276" s="124">
        <v>3</v>
      </c>
      <c r="M276" s="91">
        <f t="shared" ref="M276:M284" si="83">IF(ISBLANK(J276),"",1)</f>
        <v>1</v>
      </c>
      <c r="N276" s="98" t="s">
        <v>64</v>
      </c>
      <c r="O276" s="99" t="s">
        <v>65</v>
      </c>
      <c r="P276" s="100">
        <f t="shared" ref="P276:P284" si="84">IF(ISBLANK(N276),"",1)</f>
        <v>1</v>
      </c>
      <c r="Q276" s="101">
        <f t="shared" si="80"/>
        <v>0</v>
      </c>
      <c r="R276" s="101">
        <f t="shared" si="81"/>
        <v>0</v>
      </c>
      <c r="S276" s="102" t="s">
        <v>56</v>
      </c>
      <c r="T276" s="98">
        <f t="shared" ref="T276:T284" si="85">IF(ISBLANK(S276),"",IF(VALUE(S276)=0,0,IF(VALUE(S276)=1,3,"")))</f>
        <v>0</v>
      </c>
      <c r="U276" s="27" t="str">
        <f t="shared" ref="U276:U284" si="86">IF(ISBLANK(N276),"","SUBDIRECCION DE GESTION CONTRACTUAL")</f>
        <v>SUBDIRECCION DE GESTION CONTRACTUAL</v>
      </c>
      <c r="V276" s="91" t="str">
        <f t="shared" ref="V276:V284" si="87">IF(ISBLANK(N276),"","CO-DC")</f>
        <v>CO-DC</v>
      </c>
      <c r="W276" s="27" t="str">
        <f t="shared" ref="W276:W284" si="88">IF(ISBLANK(N276),"","Distrito Capital de Bogotá")</f>
        <v>Distrito Capital de Bogotá</v>
      </c>
      <c r="X276" s="103" t="s">
        <v>340</v>
      </c>
      <c r="Y276" s="91">
        <v>2427400</v>
      </c>
      <c r="Z276" s="105" t="s">
        <v>341</v>
      </c>
    </row>
    <row r="277" spans="1:26" s="5" customFormat="1" ht="12.75" hidden="1" customHeight="1" x14ac:dyDescent="0.2">
      <c r="A277" s="90" t="s">
        <v>336</v>
      </c>
      <c r="B277" s="91">
        <f t="shared" si="82"/>
        <v>65</v>
      </c>
      <c r="C277" s="92" t="s">
        <v>359</v>
      </c>
      <c r="D277" s="92" t="s">
        <v>360</v>
      </c>
      <c r="E277" s="93"/>
      <c r="F277" s="93">
        <f>200000000-200000000</f>
        <v>0</v>
      </c>
      <c r="G277" s="93"/>
      <c r="H277" s="94" t="s">
        <v>67</v>
      </c>
      <c r="I277" s="76" t="s">
        <v>344</v>
      </c>
      <c r="J277" s="124">
        <v>1</v>
      </c>
      <c r="K277" s="124">
        <v>2</v>
      </c>
      <c r="L277" s="124">
        <v>3</v>
      </c>
      <c r="M277" s="91">
        <f t="shared" si="83"/>
        <v>1</v>
      </c>
      <c r="N277" s="98" t="s">
        <v>64</v>
      </c>
      <c r="O277" s="99" t="s">
        <v>65</v>
      </c>
      <c r="P277" s="100">
        <f t="shared" si="84"/>
        <v>1</v>
      </c>
      <c r="Q277" s="101">
        <f t="shared" ref="Q277:Q282" si="89">+E277+F277+G277</f>
        <v>0</v>
      </c>
      <c r="R277" s="101">
        <f t="shared" ref="R277:R282" si="90">+F277</f>
        <v>0</v>
      </c>
      <c r="S277" s="102" t="s">
        <v>56</v>
      </c>
      <c r="T277" s="98">
        <f t="shared" si="85"/>
        <v>0</v>
      </c>
      <c r="U277" s="27" t="str">
        <f t="shared" si="86"/>
        <v>SUBDIRECCION DE GESTION CONTRACTUAL</v>
      </c>
      <c r="V277" s="91" t="str">
        <f t="shared" si="87"/>
        <v>CO-DC</v>
      </c>
      <c r="W277" s="27" t="str">
        <f t="shared" si="88"/>
        <v>Distrito Capital de Bogotá</v>
      </c>
      <c r="X277" s="103" t="s">
        <v>340</v>
      </c>
      <c r="Y277" s="91">
        <v>2427400</v>
      </c>
      <c r="Z277" s="105" t="s">
        <v>341</v>
      </c>
    </row>
    <row r="278" spans="1:26" s="5" customFormat="1" ht="12.75" hidden="1" customHeight="1" x14ac:dyDescent="0.2">
      <c r="A278" s="90" t="s">
        <v>336</v>
      </c>
      <c r="B278" s="91">
        <f t="shared" si="82"/>
        <v>66</v>
      </c>
      <c r="C278" s="92" t="s">
        <v>361</v>
      </c>
      <c r="D278" s="92" t="s">
        <v>360</v>
      </c>
      <c r="E278" s="93">
        <f>450800+262000</f>
        <v>712800</v>
      </c>
      <c r="F278" s="93">
        <f>70000000-70000000</f>
        <v>0</v>
      </c>
      <c r="G278" s="93"/>
      <c r="H278" s="94" t="s">
        <v>67</v>
      </c>
      <c r="I278" s="76" t="s">
        <v>344</v>
      </c>
      <c r="J278" s="124">
        <v>1</v>
      </c>
      <c r="K278" s="124">
        <v>2</v>
      </c>
      <c r="L278" s="124">
        <v>3</v>
      </c>
      <c r="M278" s="91">
        <f t="shared" si="83"/>
        <v>1</v>
      </c>
      <c r="N278" s="98" t="s">
        <v>64</v>
      </c>
      <c r="O278" s="99" t="s">
        <v>65</v>
      </c>
      <c r="P278" s="100">
        <f t="shared" si="84"/>
        <v>1</v>
      </c>
      <c r="Q278" s="101">
        <f t="shared" si="89"/>
        <v>712800</v>
      </c>
      <c r="R278" s="101">
        <f t="shared" si="90"/>
        <v>0</v>
      </c>
      <c r="S278" s="102" t="s">
        <v>56</v>
      </c>
      <c r="T278" s="98">
        <f t="shared" si="85"/>
        <v>0</v>
      </c>
      <c r="U278" s="27" t="str">
        <f t="shared" si="86"/>
        <v>SUBDIRECCION DE GESTION CONTRACTUAL</v>
      </c>
      <c r="V278" s="91" t="str">
        <f t="shared" si="87"/>
        <v>CO-DC</v>
      </c>
      <c r="W278" s="27" t="str">
        <f t="shared" si="88"/>
        <v>Distrito Capital de Bogotá</v>
      </c>
      <c r="X278" s="103" t="s">
        <v>340</v>
      </c>
      <c r="Y278" s="91">
        <v>2427400</v>
      </c>
      <c r="Z278" s="105" t="s">
        <v>341</v>
      </c>
    </row>
    <row r="279" spans="1:26" s="5" customFormat="1" ht="12.75" hidden="1" customHeight="1" x14ac:dyDescent="0.2">
      <c r="A279" s="90" t="s">
        <v>336</v>
      </c>
      <c r="B279" s="91">
        <f t="shared" si="82"/>
        <v>67</v>
      </c>
      <c r="C279" s="92" t="s">
        <v>362</v>
      </c>
      <c r="D279" s="92" t="s">
        <v>363</v>
      </c>
      <c r="E279" s="93">
        <f>861800-E278</f>
        <v>149000</v>
      </c>
      <c r="F279" s="93">
        <v>0</v>
      </c>
      <c r="G279" s="93"/>
      <c r="H279" s="94" t="s">
        <v>67</v>
      </c>
      <c r="I279" s="76" t="s">
        <v>344</v>
      </c>
      <c r="J279" s="124">
        <v>1</v>
      </c>
      <c r="K279" s="124">
        <v>2</v>
      </c>
      <c r="L279" s="124">
        <v>3</v>
      </c>
      <c r="M279" s="91">
        <f t="shared" si="83"/>
        <v>1</v>
      </c>
      <c r="N279" s="98" t="s">
        <v>64</v>
      </c>
      <c r="O279" s="99" t="s">
        <v>65</v>
      </c>
      <c r="P279" s="100">
        <f t="shared" si="84"/>
        <v>1</v>
      </c>
      <c r="Q279" s="101">
        <f t="shared" si="89"/>
        <v>149000</v>
      </c>
      <c r="R279" s="101">
        <f t="shared" si="90"/>
        <v>0</v>
      </c>
      <c r="S279" s="102" t="s">
        <v>56</v>
      </c>
      <c r="T279" s="98">
        <f t="shared" si="85"/>
        <v>0</v>
      </c>
      <c r="U279" s="27" t="str">
        <f t="shared" si="86"/>
        <v>SUBDIRECCION DE GESTION CONTRACTUAL</v>
      </c>
      <c r="V279" s="91" t="str">
        <f t="shared" si="87"/>
        <v>CO-DC</v>
      </c>
      <c r="W279" s="27" t="str">
        <f t="shared" si="88"/>
        <v>Distrito Capital de Bogotá</v>
      </c>
      <c r="X279" s="103" t="s">
        <v>340</v>
      </c>
      <c r="Y279" s="91">
        <v>2427400</v>
      </c>
      <c r="Z279" s="105" t="s">
        <v>341</v>
      </c>
    </row>
    <row r="280" spans="1:26" s="5" customFormat="1" ht="12.75" hidden="1" customHeight="1" x14ac:dyDescent="0.2">
      <c r="A280" s="90" t="s">
        <v>336</v>
      </c>
      <c r="B280" s="91">
        <f t="shared" si="82"/>
        <v>68</v>
      </c>
      <c r="C280" s="92" t="s">
        <v>368</v>
      </c>
      <c r="D280" s="92" t="s">
        <v>152</v>
      </c>
      <c r="E280" s="93"/>
      <c r="F280" s="93">
        <f>380000-380000</f>
        <v>0</v>
      </c>
      <c r="G280" s="93"/>
      <c r="H280" s="94" t="s">
        <v>67</v>
      </c>
      <c r="I280" s="76" t="s">
        <v>344</v>
      </c>
      <c r="J280" s="124">
        <v>1</v>
      </c>
      <c r="K280" s="124">
        <v>2</v>
      </c>
      <c r="L280" s="124">
        <v>3</v>
      </c>
      <c r="M280" s="91">
        <f t="shared" si="83"/>
        <v>1</v>
      </c>
      <c r="N280" s="98" t="s">
        <v>64</v>
      </c>
      <c r="O280" s="99" t="s">
        <v>65</v>
      </c>
      <c r="P280" s="100">
        <f t="shared" si="84"/>
        <v>1</v>
      </c>
      <c r="Q280" s="101">
        <f t="shared" si="89"/>
        <v>0</v>
      </c>
      <c r="R280" s="101">
        <f t="shared" si="90"/>
        <v>0</v>
      </c>
      <c r="S280" s="102" t="s">
        <v>56</v>
      </c>
      <c r="T280" s="98">
        <f t="shared" si="85"/>
        <v>0</v>
      </c>
      <c r="U280" s="27" t="str">
        <f t="shared" si="86"/>
        <v>SUBDIRECCION DE GESTION CONTRACTUAL</v>
      </c>
      <c r="V280" s="91" t="str">
        <f t="shared" si="87"/>
        <v>CO-DC</v>
      </c>
      <c r="W280" s="27" t="str">
        <f t="shared" si="88"/>
        <v>Distrito Capital de Bogotá</v>
      </c>
      <c r="X280" s="103" t="s">
        <v>340</v>
      </c>
      <c r="Y280" s="91">
        <v>2427400</v>
      </c>
      <c r="Z280" s="105" t="s">
        <v>341</v>
      </c>
    </row>
    <row r="281" spans="1:26" s="5" customFormat="1" ht="12.75" hidden="1" customHeight="1" x14ac:dyDescent="0.2">
      <c r="A281" s="90" t="s">
        <v>336</v>
      </c>
      <c r="B281" s="91">
        <f t="shared" si="82"/>
        <v>69</v>
      </c>
      <c r="C281" s="92" t="s">
        <v>369</v>
      </c>
      <c r="D281" s="92" t="s">
        <v>152</v>
      </c>
      <c r="E281" s="93"/>
      <c r="F281" s="93">
        <f>60000000-60000000</f>
        <v>0</v>
      </c>
      <c r="G281" s="93"/>
      <c r="H281" s="94" t="s">
        <v>67</v>
      </c>
      <c r="I281" s="76" t="s">
        <v>344</v>
      </c>
      <c r="J281" s="124">
        <v>1</v>
      </c>
      <c r="K281" s="124">
        <v>2</v>
      </c>
      <c r="L281" s="124">
        <v>3</v>
      </c>
      <c r="M281" s="91">
        <f t="shared" si="83"/>
        <v>1</v>
      </c>
      <c r="N281" s="98" t="s">
        <v>64</v>
      </c>
      <c r="O281" s="99" t="s">
        <v>65</v>
      </c>
      <c r="P281" s="100">
        <f t="shared" si="84"/>
        <v>1</v>
      </c>
      <c r="Q281" s="101">
        <f t="shared" si="89"/>
        <v>0</v>
      </c>
      <c r="R281" s="101">
        <f t="shared" si="90"/>
        <v>0</v>
      </c>
      <c r="S281" s="102" t="s">
        <v>56</v>
      </c>
      <c r="T281" s="98">
        <f t="shared" si="85"/>
        <v>0</v>
      </c>
      <c r="U281" s="27" t="str">
        <f t="shared" si="86"/>
        <v>SUBDIRECCION DE GESTION CONTRACTUAL</v>
      </c>
      <c r="V281" s="91" t="str">
        <f t="shared" si="87"/>
        <v>CO-DC</v>
      </c>
      <c r="W281" s="27" t="str">
        <f t="shared" si="88"/>
        <v>Distrito Capital de Bogotá</v>
      </c>
      <c r="X281" s="103" t="s">
        <v>340</v>
      </c>
      <c r="Y281" s="91">
        <v>2427400</v>
      </c>
      <c r="Z281" s="105" t="s">
        <v>341</v>
      </c>
    </row>
    <row r="282" spans="1:26" s="5" customFormat="1" ht="12.75" hidden="1" customHeight="1" x14ac:dyDescent="0.2">
      <c r="A282" s="90" t="s">
        <v>336</v>
      </c>
      <c r="B282" s="91">
        <f t="shared" si="82"/>
        <v>70</v>
      </c>
      <c r="C282" s="92" t="s">
        <v>371</v>
      </c>
      <c r="D282" s="92" t="s">
        <v>372</v>
      </c>
      <c r="E282" s="93"/>
      <c r="F282" s="93">
        <f>163647055-163647055</f>
        <v>0</v>
      </c>
      <c r="G282" s="93"/>
      <c r="H282" s="94" t="s">
        <v>67</v>
      </c>
      <c r="I282" s="76" t="s">
        <v>344</v>
      </c>
      <c r="J282" s="124">
        <v>1</v>
      </c>
      <c r="K282" s="124">
        <v>2</v>
      </c>
      <c r="L282" s="124">
        <v>3</v>
      </c>
      <c r="M282" s="91">
        <f t="shared" si="83"/>
        <v>1</v>
      </c>
      <c r="N282" s="98" t="s">
        <v>64</v>
      </c>
      <c r="O282" s="99" t="s">
        <v>65</v>
      </c>
      <c r="P282" s="100">
        <f t="shared" si="84"/>
        <v>1</v>
      </c>
      <c r="Q282" s="101">
        <f t="shared" si="89"/>
        <v>0</v>
      </c>
      <c r="R282" s="101">
        <f t="shared" si="90"/>
        <v>0</v>
      </c>
      <c r="S282" s="102" t="s">
        <v>56</v>
      </c>
      <c r="T282" s="98">
        <f t="shared" si="85"/>
        <v>0</v>
      </c>
      <c r="U282" s="27" t="str">
        <f t="shared" si="86"/>
        <v>SUBDIRECCION DE GESTION CONTRACTUAL</v>
      </c>
      <c r="V282" s="91" t="str">
        <f t="shared" si="87"/>
        <v>CO-DC</v>
      </c>
      <c r="W282" s="27" t="str">
        <f t="shared" si="88"/>
        <v>Distrito Capital de Bogotá</v>
      </c>
      <c r="X282" s="103" t="s">
        <v>340</v>
      </c>
      <c r="Y282" s="91">
        <v>2427400</v>
      </c>
      <c r="Z282" s="105" t="s">
        <v>341</v>
      </c>
    </row>
    <row r="283" spans="1:26" s="5" customFormat="1" ht="12.75" hidden="1" customHeight="1" x14ac:dyDescent="0.2">
      <c r="A283" s="90" t="s">
        <v>336</v>
      </c>
      <c r="B283" s="91">
        <v>71</v>
      </c>
      <c r="C283" s="92" t="s">
        <v>371</v>
      </c>
      <c r="D283" s="92" t="s">
        <v>372</v>
      </c>
      <c r="E283" s="93"/>
      <c r="F283" s="93">
        <f>653284447-653284447</f>
        <v>0</v>
      </c>
      <c r="G283" s="93"/>
      <c r="H283" s="94" t="s">
        <v>350</v>
      </c>
      <c r="I283" s="76" t="s">
        <v>376</v>
      </c>
      <c r="J283" s="95">
        <v>7</v>
      </c>
      <c r="K283" s="95">
        <v>7</v>
      </c>
      <c r="L283" s="97">
        <v>5</v>
      </c>
      <c r="M283" s="91">
        <f t="shared" si="83"/>
        <v>1</v>
      </c>
      <c r="N283" s="98" t="s">
        <v>64</v>
      </c>
      <c r="O283" s="99" t="s">
        <v>65</v>
      </c>
      <c r="P283" s="100">
        <f t="shared" si="84"/>
        <v>1</v>
      </c>
      <c r="Q283" s="101" t="str">
        <f>IF(VALUE(E283+F283+G283)=0,"",E283+F283+G283)</f>
        <v/>
      </c>
      <c r="R283" s="101" t="str">
        <f>IF(VALUE(F283)=0,"",F283)</f>
        <v/>
      </c>
      <c r="S283" s="102" t="s">
        <v>56</v>
      </c>
      <c r="T283" s="98">
        <f t="shared" si="85"/>
        <v>0</v>
      </c>
      <c r="U283" s="27" t="str">
        <f t="shared" si="86"/>
        <v>SUBDIRECCION DE GESTION CONTRACTUAL</v>
      </c>
      <c r="V283" s="91" t="str">
        <f t="shared" si="87"/>
        <v>CO-DC</v>
      </c>
      <c r="W283" s="27" t="str">
        <f t="shared" si="88"/>
        <v>Distrito Capital de Bogotá</v>
      </c>
      <c r="X283" s="103" t="s">
        <v>340</v>
      </c>
      <c r="Y283" s="91">
        <v>2427400</v>
      </c>
      <c r="Z283" s="105" t="s">
        <v>341</v>
      </c>
    </row>
    <row r="284" spans="1:26" s="5" customFormat="1" ht="12.75" hidden="1" customHeight="1" x14ac:dyDescent="0.2">
      <c r="A284" s="90" t="s">
        <v>336</v>
      </c>
      <c r="B284" s="91">
        <v>72</v>
      </c>
      <c r="C284" s="92" t="s">
        <v>371</v>
      </c>
      <c r="D284" s="92" t="s">
        <v>372</v>
      </c>
      <c r="E284" s="93"/>
      <c r="F284" s="93">
        <v>29000000</v>
      </c>
      <c r="G284" s="93"/>
      <c r="H284" s="94" t="s">
        <v>353</v>
      </c>
      <c r="I284" s="76" t="s">
        <v>354</v>
      </c>
      <c r="J284" s="95">
        <v>5</v>
      </c>
      <c r="K284" s="161">
        <v>6</v>
      </c>
      <c r="L284" s="97">
        <v>6</v>
      </c>
      <c r="M284" s="91">
        <f t="shared" si="83"/>
        <v>1</v>
      </c>
      <c r="N284" s="98" t="s">
        <v>64</v>
      </c>
      <c r="O284" s="99" t="s">
        <v>65</v>
      </c>
      <c r="P284" s="100">
        <f t="shared" si="84"/>
        <v>1</v>
      </c>
      <c r="Q284" s="101">
        <f>IF(VALUE(E284+F284+G284)=0,"",E284+F284+G284)</f>
        <v>29000000</v>
      </c>
      <c r="R284" s="101">
        <f>IF(VALUE(F284)=0,"",F284)</f>
        <v>29000000</v>
      </c>
      <c r="S284" s="102" t="s">
        <v>56</v>
      </c>
      <c r="T284" s="98">
        <f t="shared" si="85"/>
        <v>0</v>
      </c>
      <c r="U284" s="27" t="str">
        <f t="shared" si="86"/>
        <v>SUBDIRECCION DE GESTION CONTRACTUAL</v>
      </c>
      <c r="V284" s="91" t="str">
        <f t="shared" si="87"/>
        <v>CO-DC</v>
      </c>
      <c r="W284" s="27" t="str">
        <f t="shared" si="88"/>
        <v>Distrito Capital de Bogotá</v>
      </c>
      <c r="X284" s="103" t="s">
        <v>340</v>
      </c>
      <c r="Y284" s="91">
        <v>2427400</v>
      </c>
      <c r="Z284" s="105" t="s">
        <v>341</v>
      </c>
    </row>
    <row r="285" spans="1:26" s="5" customFormat="1" ht="14.25" hidden="1" x14ac:dyDescent="0.2">
      <c r="A285" s="90" t="s">
        <v>336</v>
      </c>
      <c r="B285" s="91">
        <v>73</v>
      </c>
      <c r="C285" s="92" t="s">
        <v>369</v>
      </c>
      <c r="D285" s="92" t="s">
        <v>152</v>
      </c>
      <c r="E285" s="93"/>
      <c r="F285" s="93">
        <v>30000000</v>
      </c>
      <c r="G285" s="93"/>
      <c r="H285" s="94" t="s">
        <v>377</v>
      </c>
      <c r="I285" s="76" t="s">
        <v>378</v>
      </c>
      <c r="J285" s="95">
        <v>2</v>
      </c>
      <c r="K285" s="161">
        <v>3</v>
      </c>
      <c r="L285" s="97">
        <v>9</v>
      </c>
      <c r="M285" s="91">
        <v>1</v>
      </c>
      <c r="N285" s="98" t="s">
        <v>125</v>
      </c>
      <c r="O285" s="99" t="s">
        <v>126</v>
      </c>
      <c r="P285" s="100">
        <v>1</v>
      </c>
      <c r="Q285" s="101">
        <f>IF(VALUE(E285+F285+G285)=0,"",E285+F285+G285)</f>
        <v>30000000</v>
      </c>
      <c r="R285" s="101">
        <f>IF(VALUE(F285)=0,"",F285)</f>
        <v>30000000</v>
      </c>
      <c r="S285" s="102" t="s">
        <v>56</v>
      </c>
      <c r="T285" s="98">
        <v>0</v>
      </c>
      <c r="U285" s="27" t="s">
        <v>280</v>
      </c>
      <c r="V285" s="91" t="s">
        <v>207</v>
      </c>
      <c r="W285" s="27" t="s">
        <v>208</v>
      </c>
      <c r="X285" s="103" t="s">
        <v>340</v>
      </c>
      <c r="Y285" s="91">
        <v>2427400</v>
      </c>
      <c r="Z285" s="105" t="s">
        <v>341</v>
      </c>
    </row>
    <row r="286" spans="1:26" s="5" customFormat="1" ht="14.25" hidden="1" x14ac:dyDescent="0.2">
      <c r="A286" s="90" t="s">
        <v>336</v>
      </c>
      <c r="B286" s="91">
        <v>74</v>
      </c>
      <c r="C286" s="92" t="s">
        <v>369</v>
      </c>
      <c r="D286" s="92" t="s">
        <v>152</v>
      </c>
      <c r="E286" s="93"/>
      <c r="F286" s="93">
        <v>154400000</v>
      </c>
      <c r="G286" s="93"/>
      <c r="H286" s="94" t="s">
        <v>71</v>
      </c>
      <c r="I286" s="76" t="s">
        <v>367</v>
      </c>
      <c r="J286" s="95">
        <v>2</v>
      </c>
      <c r="K286" s="161">
        <v>3</v>
      </c>
      <c r="L286" s="97">
        <v>10</v>
      </c>
      <c r="M286" s="91">
        <v>1</v>
      </c>
      <c r="N286" s="98" t="s">
        <v>64</v>
      </c>
      <c r="O286" s="99" t="s">
        <v>65</v>
      </c>
      <c r="P286" s="100">
        <v>1</v>
      </c>
      <c r="Q286" s="101">
        <f>IF(VALUE(E286+F286+G286)=0,"",E286+F286+G286)</f>
        <v>154400000</v>
      </c>
      <c r="R286" s="101">
        <f>IF(VALUE(F286)=0,"",F286)</f>
        <v>154400000</v>
      </c>
      <c r="S286" s="102" t="s">
        <v>366</v>
      </c>
      <c r="T286" s="98">
        <v>3</v>
      </c>
      <c r="U286" s="27" t="s">
        <v>280</v>
      </c>
      <c r="V286" s="91" t="s">
        <v>207</v>
      </c>
      <c r="W286" s="27" t="s">
        <v>208</v>
      </c>
      <c r="X286" s="103" t="s">
        <v>340</v>
      </c>
      <c r="Y286" s="91">
        <v>2427400</v>
      </c>
      <c r="Z286" s="105" t="s">
        <v>341</v>
      </c>
    </row>
    <row r="287" spans="1:26" s="5" customFormat="1" ht="12.75" customHeight="1" x14ac:dyDescent="0.2">
      <c r="A287" s="231" t="s">
        <v>379</v>
      </c>
      <c r="B287" s="232">
        <v>1</v>
      </c>
      <c r="C287" s="233" t="s">
        <v>380</v>
      </c>
      <c r="D287" s="233" t="s">
        <v>381</v>
      </c>
      <c r="E287" s="234"/>
      <c r="F287" s="234">
        <f>494415925+5000000</f>
        <v>499415925</v>
      </c>
      <c r="G287" s="234"/>
      <c r="H287" s="235">
        <v>80111600</v>
      </c>
      <c r="I287" s="236" t="s">
        <v>382</v>
      </c>
      <c r="J287" s="237">
        <v>1</v>
      </c>
      <c r="K287" s="237">
        <v>1</v>
      </c>
      <c r="L287" s="237">
        <v>12</v>
      </c>
      <c r="M287" s="232">
        <f t="shared" ref="M287:M304" si="91">IF(ISBLANK(J287),"",1)</f>
        <v>1</v>
      </c>
      <c r="N287" s="238" t="s">
        <v>54</v>
      </c>
      <c r="O287" s="239" t="s">
        <v>55</v>
      </c>
      <c r="P287" s="240">
        <f>IF(ISBLANK(N287),"",1)</f>
        <v>1</v>
      </c>
      <c r="Q287" s="241">
        <f t="shared" ref="Q287:Q318" si="92">+E287+F287+G287</f>
        <v>499415925</v>
      </c>
      <c r="R287" s="241">
        <f t="shared" ref="R287:R318" si="93">+F287</f>
        <v>499415925</v>
      </c>
      <c r="S287" s="242" t="s">
        <v>56</v>
      </c>
      <c r="T287" s="238">
        <f>IF(ISBLANK(S287),"",IF(VALUE(S287)=0,0,IF(VALUE(S287)=1,3,"")))</f>
        <v>0</v>
      </c>
      <c r="U287" s="243" t="str">
        <f t="shared" ref="U287:U350" si="94">IF(ISBLANK(N287),"","SUBDIRECCION DE GESTION CONTRACTUAL")</f>
        <v>SUBDIRECCION DE GESTION CONTRACTUAL</v>
      </c>
      <c r="V287" s="232" t="str">
        <f t="shared" ref="V287:V350" si="95">IF(ISBLANK(N287),"","CO-DC")</f>
        <v>CO-DC</v>
      </c>
      <c r="W287" s="243" t="str">
        <f t="shared" ref="W287:W350" si="96">IF(ISBLANK(N287),"","Distrito Capital de Bogotá")</f>
        <v>Distrito Capital de Bogotá</v>
      </c>
      <c r="X287" s="244" t="s">
        <v>383</v>
      </c>
      <c r="Y287" s="245">
        <v>2427400</v>
      </c>
      <c r="Z287" s="246" t="s">
        <v>384</v>
      </c>
    </row>
    <row r="288" spans="1:26" s="5" customFormat="1" ht="12.75" customHeight="1" x14ac:dyDescent="0.2">
      <c r="A288" s="231" t="s">
        <v>379</v>
      </c>
      <c r="B288" s="232">
        <v>2</v>
      </c>
      <c r="C288" s="233" t="s">
        <v>380</v>
      </c>
      <c r="D288" s="233" t="s">
        <v>381</v>
      </c>
      <c r="E288" s="234"/>
      <c r="F288" s="234">
        <f>10000000-5000000</f>
        <v>5000000</v>
      </c>
      <c r="G288" s="234"/>
      <c r="H288" s="235" t="s">
        <v>67</v>
      </c>
      <c r="I288" s="236" t="s">
        <v>385</v>
      </c>
      <c r="J288" s="247">
        <v>2</v>
      </c>
      <c r="K288" s="248">
        <v>3</v>
      </c>
      <c r="L288" s="249">
        <v>9</v>
      </c>
      <c r="M288" s="232">
        <f t="shared" si="91"/>
        <v>1</v>
      </c>
      <c r="N288" s="238" t="s">
        <v>69</v>
      </c>
      <c r="O288" s="239" t="s">
        <v>70</v>
      </c>
      <c r="P288" s="240">
        <v>1</v>
      </c>
      <c r="Q288" s="241">
        <f t="shared" si="92"/>
        <v>5000000</v>
      </c>
      <c r="R288" s="241">
        <f t="shared" si="93"/>
        <v>5000000</v>
      </c>
      <c r="S288" s="242" t="s">
        <v>56</v>
      </c>
      <c r="T288" s="238">
        <v>0</v>
      </c>
      <c r="U288" s="243" t="str">
        <f t="shared" si="94"/>
        <v>SUBDIRECCION DE GESTION CONTRACTUAL</v>
      </c>
      <c r="V288" s="232" t="str">
        <f t="shared" si="95"/>
        <v>CO-DC</v>
      </c>
      <c r="W288" s="243" t="str">
        <f t="shared" si="96"/>
        <v>Distrito Capital de Bogotá</v>
      </c>
      <c r="X288" s="244" t="s">
        <v>383</v>
      </c>
      <c r="Y288" s="245">
        <v>2427400</v>
      </c>
      <c r="Z288" s="246" t="s">
        <v>384</v>
      </c>
    </row>
    <row r="289" spans="1:26" s="5" customFormat="1" ht="12.75" customHeight="1" x14ac:dyDescent="0.25">
      <c r="A289" s="231" t="s">
        <v>379</v>
      </c>
      <c r="B289" s="232">
        <v>3</v>
      </c>
      <c r="C289" s="233" t="s">
        <v>380</v>
      </c>
      <c r="D289" s="233" t="s">
        <v>381</v>
      </c>
      <c r="E289" s="234"/>
      <c r="F289" s="234">
        <v>50000000</v>
      </c>
      <c r="G289" s="234"/>
      <c r="H289" s="235" t="s">
        <v>119</v>
      </c>
      <c r="I289" s="236" t="s">
        <v>386</v>
      </c>
      <c r="J289" s="237">
        <v>6</v>
      </c>
      <c r="K289" s="237">
        <v>6</v>
      </c>
      <c r="L289" s="237">
        <v>6</v>
      </c>
      <c r="M289" s="232">
        <f t="shared" si="91"/>
        <v>1</v>
      </c>
      <c r="N289" s="238" t="s">
        <v>54</v>
      </c>
      <c r="O289" s="239" t="s">
        <v>55</v>
      </c>
      <c r="P289" s="240">
        <v>1</v>
      </c>
      <c r="Q289" s="241">
        <f t="shared" si="92"/>
        <v>50000000</v>
      </c>
      <c r="R289" s="241">
        <f t="shared" si="93"/>
        <v>50000000</v>
      </c>
      <c r="S289" s="242" t="s">
        <v>56</v>
      </c>
      <c r="T289" s="238">
        <v>0</v>
      </c>
      <c r="U289" s="243" t="str">
        <f t="shared" si="94"/>
        <v>SUBDIRECCION DE GESTION CONTRACTUAL</v>
      </c>
      <c r="V289" s="232" t="str">
        <f t="shared" si="95"/>
        <v>CO-DC</v>
      </c>
      <c r="W289" s="243" t="str">
        <f t="shared" si="96"/>
        <v>Distrito Capital de Bogotá</v>
      </c>
      <c r="X289" s="244" t="s">
        <v>387</v>
      </c>
      <c r="Y289" s="232" t="s">
        <v>388</v>
      </c>
      <c r="Z289" s="85" t="s">
        <v>330</v>
      </c>
    </row>
    <row r="290" spans="1:26" s="5" customFormat="1" ht="12.75" customHeight="1" x14ac:dyDescent="0.2">
      <c r="A290" s="231" t="s">
        <v>379</v>
      </c>
      <c r="B290" s="232">
        <v>4</v>
      </c>
      <c r="C290" s="233" t="s">
        <v>380</v>
      </c>
      <c r="D290" s="233" t="s">
        <v>381</v>
      </c>
      <c r="E290" s="234"/>
      <c r="F290" s="234">
        <v>160000000</v>
      </c>
      <c r="G290" s="234"/>
      <c r="H290" s="235" t="s">
        <v>389</v>
      </c>
      <c r="I290" s="250" t="s">
        <v>390</v>
      </c>
      <c r="J290" s="237">
        <v>2</v>
      </c>
      <c r="K290" s="237">
        <v>3</v>
      </c>
      <c r="L290" s="237">
        <v>4</v>
      </c>
      <c r="M290" s="232">
        <f t="shared" si="91"/>
        <v>1</v>
      </c>
      <c r="N290" s="238" t="s">
        <v>64</v>
      </c>
      <c r="O290" s="239" t="s">
        <v>65</v>
      </c>
      <c r="P290" s="240">
        <v>1</v>
      </c>
      <c r="Q290" s="241">
        <f t="shared" si="92"/>
        <v>160000000</v>
      </c>
      <c r="R290" s="241">
        <f t="shared" si="93"/>
        <v>160000000</v>
      </c>
      <c r="S290" s="242" t="s">
        <v>56</v>
      </c>
      <c r="T290" s="238">
        <v>0</v>
      </c>
      <c r="U290" s="243" t="str">
        <f t="shared" si="94"/>
        <v>SUBDIRECCION DE GESTION CONTRACTUAL</v>
      </c>
      <c r="V290" s="232" t="str">
        <f t="shared" si="95"/>
        <v>CO-DC</v>
      </c>
      <c r="W290" s="243" t="str">
        <f t="shared" si="96"/>
        <v>Distrito Capital de Bogotá</v>
      </c>
      <c r="X290" s="244" t="s">
        <v>383</v>
      </c>
      <c r="Y290" s="245">
        <v>2427400</v>
      </c>
      <c r="Z290" s="246" t="s">
        <v>384</v>
      </c>
    </row>
    <row r="291" spans="1:26" s="5" customFormat="1" ht="12.75" customHeight="1" x14ac:dyDescent="0.25">
      <c r="A291" s="231" t="s">
        <v>379</v>
      </c>
      <c r="B291" s="232">
        <v>5</v>
      </c>
      <c r="C291" s="233" t="s">
        <v>391</v>
      </c>
      <c r="D291" s="233" t="s">
        <v>381</v>
      </c>
      <c r="E291" s="234"/>
      <c r="F291" s="234">
        <f>637415925+35000000-5587264-5000000</f>
        <v>661828661</v>
      </c>
      <c r="G291" s="234"/>
      <c r="H291" s="235">
        <v>80111600</v>
      </c>
      <c r="I291" s="236" t="s">
        <v>382</v>
      </c>
      <c r="J291" s="237">
        <v>1</v>
      </c>
      <c r="K291" s="237">
        <v>1</v>
      </c>
      <c r="L291" s="237">
        <v>12</v>
      </c>
      <c r="M291" s="232">
        <f t="shared" si="91"/>
        <v>1</v>
      </c>
      <c r="N291" s="238" t="s">
        <v>54</v>
      </c>
      <c r="O291" s="239" t="s">
        <v>55</v>
      </c>
      <c r="P291" s="240">
        <f>IF(ISBLANK(N291),"",1)</f>
        <v>1</v>
      </c>
      <c r="Q291" s="241">
        <f t="shared" si="92"/>
        <v>661828661</v>
      </c>
      <c r="R291" s="241">
        <f t="shared" si="93"/>
        <v>661828661</v>
      </c>
      <c r="S291" s="242" t="s">
        <v>56</v>
      </c>
      <c r="T291" s="238">
        <f>IF(ISBLANK(S291),"",IF(VALUE(S291)=0,0,IF(VALUE(S291)=1,3,"")))</f>
        <v>0</v>
      </c>
      <c r="U291" s="243" t="str">
        <f t="shared" si="94"/>
        <v>SUBDIRECCION DE GESTION CONTRACTUAL</v>
      </c>
      <c r="V291" s="232" t="str">
        <f t="shared" si="95"/>
        <v>CO-DC</v>
      </c>
      <c r="W291" s="243" t="str">
        <f t="shared" si="96"/>
        <v>Distrito Capital de Bogotá</v>
      </c>
      <c r="X291" s="244" t="s">
        <v>1067</v>
      </c>
      <c r="Y291" s="245">
        <v>2427400</v>
      </c>
      <c r="Z291" s="85" t="s">
        <v>1068</v>
      </c>
    </row>
    <row r="292" spans="1:26" s="5" customFormat="1" ht="12.75" customHeight="1" x14ac:dyDescent="0.2">
      <c r="A292" s="231" t="s">
        <v>379</v>
      </c>
      <c r="B292" s="232">
        <v>6</v>
      </c>
      <c r="C292" s="233" t="s">
        <v>391</v>
      </c>
      <c r="D292" s="233" t="s">
        <v>381</v>
      </c>
      <c r="E292" s="234"/>
      <c r="F292" s="234">
        <f>50000000+20407410</f>
        <v>70407410</v>
      </c>
      <c r="G292" s="234"/>
      <c r="H292" s="235" t="s">
        <v>59</v>
      </c>
      <c r="I292" s="236" t="s">
        <v>392</v>
      </c>
      <c r="J292" s="247">
        <v>3</v>
      </c>
      <c r="K292" s="248">
        <v>4</v>
      </c>
      <c r="L292" s="249">
        <v>9</v>
      </c>
      <c r="M292" s="232">
        <f t="shared" si="91"/>
        <v>1</v>
      </c>
      <c r="N292" s="238" t="s">
        <v>61</v>
      </c>
      <c r="O292" s="239" t="s">
        <v>62</v>
      </c>
      <c r="P292" s="240">
        <v>1</v>
      </c>
      <c r="Q292" s="241">
        <f t="shared" si="92"/>
        <v>70407410</v>
      </c>
      <c r="R292" s="241">
        <f t="shared" si="93"/>
        <v>70407410</v>
      </c>
      <c r="S292" s="242" t="s">
        <v>56</v>
      </c>
      <c r="T292" s="238">
        <v>0</v>
      </c>
      <c r="U292" s="243" t="str">
        <f t="shared" si="94"/>
        <v>SUBDIRECCION DE GESTION CONTRACTUAL</v>
      </c>
      <c r="V292" s="232" t="str">
        <f t="shared" si="95"/>
        <v>CO-DC</v>
      </c>
      <c r="W292" s="243" t="str">
        <f t="shared" si="96"/>
        <v>Distrito Capital de Bogotá</v>
      </c>
      <c r="X292" s="244" t="s">
        <v>383</v>
      </c>
      <c r="Y292" s="245">
        <v>2427400</v>
      </c>
      <c r="Z292" s="246" t="s">
        <v>384</v>
      </c>
    </row>
    <row r="293" spans="1:26" s="5" customFormat="1" ht="12.75" customHeight="1" x14ac:dyDescent="0.2">
      <c r="A293" s="231" t="s">
        <v>379</v>
      </c>
      <c r="B293" s="232">
        <v>7</v>
      </c>
      <c r="C293" s="233" t="s">
        <v>391</v>
      </c>
      <c r="D293" s="233" t="s">
        <v>381</v>
      </c>
      <c r="E293" s="234"/>
      <c r="F293" s="234">
        <f>170000000-35000000</f>
        <v>135000000</v>
      </c>
      <c r="G293" s="234"/>
      <c r="H293" s="235" t="s">
        <v>67</v>
      </c>
      <c r="I293" s="236" t="s">
        <v>385</v>
      </c>
      <c r="J293" s="247">
        <v>2</v>
      </c>
      <c r="K293" s="248">
        <v>3</v>
      </c>
      <c r="L293" s="249">
        <v>9</v>
      </c>
      <c r="M293" s="232">
        <f t="shared" si="91"/>
        <v>1</v>
      </c>
      <c r="N293" s="238" t="s">
        <v>69</v>
      </c>
      <c r="O293" s="239" t="s">
        <v>70</v>
      </c>
      <c r="P293" s="240">
        <v>1</v>
      </c>
      <c r="Q293" s="241">
        <f t="shared" si="92"/>
        <v>135000000</v>
      </c>
      <c r="R293" s="241">
        <f t="shared" si="93"/>
        <v>135000000</v>
      </c>
      <c r="S293" s="242" t="s">
        <v>56</v>
      </c>
      <c r="T293" s="238">
        <v>0</v>
      </c>
      <c r="U293" s="243" t="str">
        <f t="shared" si="94"/>
        <v>SUBDIRECCION DE GESTION CONTRACTUAL</v>
      </c>
      <c r="V293" s="232" t="str">
        <f t="shared" si="95"/>
        <v>CO-DC</v>
      </c>
      <c r="W293" s="243" t="str">
        <f t="shared" si="96"/>
        <v>Distrito Capital de Bogotá</v>
      </c>
      <c r="X293" s="244" t="s">
        <v>383</v>
      </c>
      <c r="Y293" s="245">
        <v>2427400</v>
      </c>
      <c r="Z293" s="246" t="s">
        <v>384</v>
      </c>
    </row>
    <row r="294" spans="1:26" s="5" customFormat="1" ht="12.75" customHeight="1" x14ac:dyDescent="0.2">
      <c r="A294" s="231" t="s">
        <v>379</v>
      </c>
      <c r="B294" s="232">
        <v>9</v>
      </c>
      <c r="C294" s="233" t="s">
        <v>391</v>
      </c>
      <c r="D294" s="233" t="s">
        <v>381</v>
      </c>
      <c r="E294" s="234"/>
      <c r="F294" s="234">
        <v>39981077</v>
      </c>
      <c r="G294" s="234"/>
      <c r="H294" s="235" t="s">
        <v>71</v>
      </c>
      <c r="I294" s="236" t="s">
        <v>393</v>
      </c>
      <c r="J294" s="247">
        <v>2</v>
      </c>
      <c r="K294" s="248">
        <v>3</v>
      </c>
      <c r="L294" s="249">
        <v>10</v>
      </c>
      <c r="M294" s="232">
        <f t="shared" si="91"/>
        <v>1</v>
      </c>
      <c r="N294" s="238" t="s">
        <v>64</v>
      </c>
      <c r="O294" s="239" t="s">
        <v>65</v>
      </c>
      <c r="P294" s="240">
        <v>1</v>
      </c>
      <c r="Q294" s="241">
        <f t="shared" si="92"/>
        <v>39981077</v>
      </c>
      <c r="R294" s="241">
        <f t="shared" si="93"/>
        <v>39981077</v>
      </c>
      <c r="S294" s="242" t="s">
        <v>56</v>
      </c>
      <c r="T294" s="238">
        <v>0</v>
      </c>
      <c r="U294" s="243" t="str">
        <f t="shared" si="94"/>
        <v>SUBDIRECCION DE GESTION CONTRACTUAL</v>
      </c>
      <c r="V294" s="232" t="str">
        <f t="shared" si="95"/>
        <v>CO-DC</v>
      </c>
      <c r="W294" s="243" t="str">
        <f t="shared" si="96"/>
        <v>Distrito Capital de Bogotá</v>
      </c>
      <c r="X294" s="244" t="s">
        <v>383</v>
      </c>
      <c r="Y294" s="245">
        <v>2427400</v>
      </c>
      <c r="Z294" s="246" t="s">
        <v>384</v>
      </c>
    </row>
    <row r="295" spans="1:26" s="5" customFormat="1" ht="12.75" customHeight="1" x14ac:dyDescent="0.2">
      <c r="A295" s="231" t="s">
        <v>379</v>
      </c>
      <c r="B295" s="232">
        <v>10</v>
      </c>
      <c r="C295" s="233" t="s">
        <v>391</v>
      </c>
      <c r="D295" s="233" t="s">
        <v>381</v>
      </c>
      <c r="E295" s="234"/>
      <c r="F295" s="234">
        <f>625000000-50000000</f>
        <v>575000000</v>
      </c>
      <c r="G295" s="234"/>
      <c r="H295" s="235">
        <v>80101604</v>
      </c>
      <c r="I295" s="236" t="s">
        <v>394</v>
      </c>
      <c r="J295" s="237">
        <v>5</v>
      </c>
      <c r="K295" s="237">
        <v>5</v>
      </c>
      <c r="L295" s="237">
        <v>7</v>
      </c>
      <c r="M295" s="232">
        <f t="shared" si="91"/>
        <v>1</v>
      </c>
      <c r="N295" s="238" t="s">
        <v>64</v>
      </c>
      <c r="O295" s="239" t="s">
        <v>65</v>
      </c>
      <c r="P295" s="240">
        <v>1</v>
      </c>
      <c r="Q295" s="241">
        <f t="shared" si="92"/>
        <v>575000000</v>
      </c>
      <c r="R295" s="241">
        <f t="shared" si="93"/>
        <v>575000000</v>
      </c>
      <c r="S295" s="242" t="s">
        <v>56</v>
      </c>
      <c r="T295" s="238">
        <v>0</v>
      </c>
      <c r="U295" s="243" t="str">
        <f t="shared" si="94"/>
        <v>SUBDIRECCION DE GESTION CONTRACTUAL</v>
      </c>
      <c r="V295" s="232" t="str">
        <f t="shared" si="95"/>
        <v>CO-DC</v>
      </c>
      <c r="W295" s="243" t="str">
        <f t="shared" si="96"/>
        <v>Distrito Capital de Bogotá</v>
      </c>
      <c r="X295" s="244" t="s">
        <v>395</v>
      </c>
      <c r="Y295" s="245">
        <v>3213062649</v>
      </c>
      <c r="Z295" s="246" t="s">
        <v>396</v>
      </c>
    </row>
    <row r="296" spans="1:26" s="5" customFormat="1" ht="12.75" customHeight="1" x14ac:dyDescent="0.2">
      <c r="A296" s="231" t="s">
        <v>379</v>
      </c>
      <c r="B296" s="232">
        <v>11</v>
      </c>
      <c r="C296" s="233" t="s">
        <v>397</v>
      </c>
      <c r="D296" s="233" t="s">
        <v>381</v>
      </c>
      <c r="E296" s="234"/>
      <c r="F296" s="234">
        <v>214500000</v>
      </c>
      <c r="G296" s="234"/>
      <c r="H296" s="235">
        <v>80111600</v>
      </c>
      <c r="I296" s="236" t="s">
        <v>382</v>
      </c>
      <c r="J296" s="237">
        <v>1</v>
      </c>
      <c r="K296" s="237">
        <v>1</v>
      </c>
      <c r="L296" s="237">
        <v>12</v>
      </c>
      <c r="M296" s="232">
        <f t="shared" si="91"/>
        <v>1</v>
      </c>
      <c r="N296" s="238" t="s">
        <v>54</v>
      </c>
      <c r="O296" s="239" t="s">
        <v>55</v>
      </c>
      <c r="P296" s="240">
        <f>IF(ISBLANK(N296),"",1)</f>
        <v>1</v>
      </c>
      <c r="Q296" s="241">
        <f t="shared" si="92"/>
        <v>214500000</v>
      </c>
      <c r="R296" s="241">
        <f t="shared" si="93"/>
        <v>214500000</v>
      </c>
      <c r="S296" s="242" t="s">
        <v>56</v>
      </c>
      <c r="T296" s="238">
        <f>IF(ISBLANK(S296),"",IF(VALUE(S296)=0,0,IF(VALUE(S296)=1,3,"")))</f>
        <v>0</v>
      </c>
      <c r="U296" s="243" t="str">
        <f t="shared" si="94"/>
        <v>SUBDIRECCION DE GESTION CONTRACTUAL</v>
      </c>
      <c r="V296" s="232" t="str">
        <f t="shared" si="95"/>
        <v>CO-DC</v>
      </c>
      <c r="W296" s="243" t="str">
        <f t="shared" si="96"/>
        <v>Distrito Capital de Bogotá</v>
      </c>
      <c r="X296" s="244" t="s">
        <v>383</v>
      </c>
      <c r="Y296" s="245">
        <v>2427400</v>
      </c>
      <c r="Z296" s="246" t="s">
        <v>384</v>
      </c>
    </row>
    <row r="297" spans="1:26" s="5" customFormat="1" ht="12.75" customHeight="1" x14ac:dyDescent="0.2">
      <c r="A297" s="231" t="s">
        <v>379</v>
      </c>
      <c r="B297" s="232">
        <v>12</v>
      </c>
      <c r="C297" s="233" t="s">
        <v>398</v>
      </c>
      <c r="D297" s="233" t="s">
        <v>381</v>
      </c>
      <c r="E297" s="234"/>
      <c r="F297" s="234">
        <f>214500000+68500000</f>
        <v>283000000</v>
      </c>
      <c r="G297" s="234"/>
      <c r="H297" s="235">
        <v>80111600</v>
      </c>
      <c r="I297" s="236" t="s">
        <v>382</v>
      </c>
      <c r="J297" s="237">
        <v>1</v>
      </c>
      <c r="K297" s="237">
        <v>1</v>
      </c>
      <c r="L297" s="237">
        <v>12</v>
      </c>
      <c r="M297" s="232">
        <f t="shared" si="91"/>
        <v>1</v>
      </c>
      <c r="N297" s="238" t="s">
        <v>54</v>
      </c>
      <c r="O297" s="239" t="s">
        <v>55</v>
      </c>
      <c r="P297" s="240">
        <f>IF(ISBLANK(N297),"",1)</f>
        <v>1</v>
      </c>
      <c r="Q297" s="241">
        <f t="shared" si="92"/>
        <v>283000000</v>
      </c>
      <c r="R297" s="241">
        <f t="shared" si="93"/>
        <v>283000000</v>
      </c>
      <c r="S297" s="242" t="s">
        <v>56</v>
      </c>
      <c r="T297" s="238">
        <f>IF(ISBLANK(S297),"",IF(VALUE(S297)=0,0,IF(VALUE(S297)=1,3,"")))</f>
        <v>0</v>
      </c>
      <c r="U297" s="243" t="str">
        <f t="shared" si="94"/>
        <v>SUBDIRECCION DE GESTION CONTRACTUAL</v>
      </c>
      <c r="V297" s="232" t="str">
        <f t="shared" si="95"/>
        <v>CO-DC</v>
      </c>
      <c r="W297" s="243" t="str">
        <f t="shared" si="96"/>
        <v>Distrito Capital de Bogotá</v>
      </c>
      <c r="X297" s="244" t="s">
        <v>383</v>
      </c>
      <c r="Y297" s="245">
        <v>2427400</v>
      </c>
      <c r="Z297" s="246" t="s">
        <v>384</v>
      </c>
    </row>
    <row r="298" spans="1:26" s="5" customFormat="1" ht="12.75" customHeight="1" x14ac:dyDescent="0.2">
      <c r="A298" s="231" t="s">
        <v>379</v>
      </c>
      <c r="B298" s="232">
        <v>13</v>
      </c>
      <c r="C298" s="233" t="s">
        <v>398</v>
      </c>
      <c r="D298" s="233" t="s">
        <v>381</v>
      </c>
      <c r="E298" s="234"/>
      <c r="F298" s="234">
        <v>15000000</v>
      </c>
      <c r="G298" s="234"/>
      <c r="H298" s="235" t="s">
        <v>59</v>
      </c>
      <c r="I298" s="236" t="s">
        <v>392</v>
      </c>
      <c r="J298" s="247">
        <v>3</v>
      </c>
      <c r="K298" s="248">
        <v>4</v>
      </c>
      <c r="L298" s="249">
        <v>9</v>
      </c>
      <c r="M298" s="232">
        <f t="shared" si="91"/>
        <v>1</v>
      </c>
      <c r="N298" s="238" t="s">
        <v>61</v>
      </c>
      <c r="O298" s="239" t="s">
        <v>62</v>
      </c>
      <c r="P298" s="240">
        <v>1</v>
      </c>
      <c r="Q298" s="241">
        <f t="shared" si="92"/>
        <v>15000000</v>
      </c>
      <c r="R298" s="241">
        <f t="shared" si="93"/>
        <v>15000000</v>
      </c>
      <c r="S298" s="242" t="s">
        <v>56</v>
      </c>
      <c r="T298" s="238">
        <v>0</v>
      </c>
      <c r="U298" s="243" t="str">
        <f t="shared" si="94"/>
        <v>SUBDIRECCION DE GESTION CONTRACTUAL</v>
      </c>
      <c r="V298" s="232" t="str">
        <f t="shared" si="95"/>
        <v>CO-DC</v>
      </c>
      <c r="W298" s="243" t="str">
        <f t="shared" si="96"/>
        <v>Distrito Capital de Bogotá</v>
      </c>
      <c r="X298" s="244" t="s">
        <v>383</v>
      </c>
      <c r="Y298" s="245">
        <v>2427400</v>
      </c>
      <c r="Z298" s="246" t="s">
        <v>384</v>
      </c>
    </row>
    <row r="299" spans="1:26" s="5" customFormat="1" ht="12.75" customHeight="1" x14ac:dyDescent="0.2">
      <c r="A299" s="231" t="s">
        <v>379</v>
      </c>
      <c r="B299" s="232">
        <v>14</v>
      </c>
      <c r="C299" s="233" t="s">
        <v>398</v>
      </c>
      <c r="D299" s="233" t="s">
        <v>381</v>
      </c>
      <c r="E299" s="234"/>
      <c r="F299" s="234">
        <f>97500000-36000000</f>
        <v>61500000</v>
      </c>
      <c r="G299" s="234"/>
      <c r="H299" s="235" t="s">
        <v>67</v>
      </c>
      <c r="I299" s="236" t="s">
        <v>385</v>
      </c>
      <c r="J299" s="247">
        <v>2</v>
      </c>
      <c r="K299" s="248">
        <v>3</v>
      </c>
      <c r="L299" s="249">
        <v>9</v>
      </c>
      <c r="M299" s="232">
        <f t="shared" si="91"/>
        <v>1</v>
      </c>
      <c r="N299" s="238" t="s">
        <v>69</v>
      </c>
      <c r="O299" s="239" t="s">
        <v>70</v>
      </c>
      <c r="P299" s="240">
        <v>1</v>
      </c>
      <c r="Q299" s="241">
        <f t="shared" si="92"/>
        <v>61500000</v>
      </c>
      <c r="R299" s="241">
        <f t="shared" si="93"/>
        <v>61500000</v>
      </c>
      <c r="S299" s="242" t="s">
        <v>56</v>
      </c>
      <c r="T299" s="238">
        <v>0</v>
      </c>
      <c r="U299" s="243" t="str">
        <f t="shared" si="94"/>
        <v>SUBDIRECCION DE GESTION CONTRACTUAL</v>
      </c>
      <c r="V299" s="232" t="str">
        <f t="shared" si="95"/>
        <v>CO-DC</v>
      </c>
      <c r="W299" s="243" t="str">
        <f t="shared" si="96"/>
        <v>Distrito Capital de Bogotá</v>
      </c>
      <c r="X299" s="244" t="s">
        <v>383</v>
      </c>
      <c r="Y299" s="245">
        <v>2427400</v>
      </c>
      <c r="Z299" s="246" t="s">
        <v>384</v>
      </c>
    </row>
    <row r="300" spans="1:26" s="5" customFormat="1" ht="12.75" customHeight="1" x14ac:dyDescent="0.2">
      <c r="A300" s="231" t="s">
        <v>379</v>
      </c>
      <c r="B300" s="232">
        <v>15</v>
      </c>
      <c r="C300" s="233" t="s">
        <v>398</v>
      </c>
      <c r="D300" s="233" t="s">
        <v>381</v>
      </c>
      <c r="E300" s="234"/>
      <c r="F300" s="234">
        <f>32500000-32500000</f>
        <v>0</v>
      </c>
      <c r="G300" s="234"/>
      <c r="H300" s="235" t="s">
        <v>67</v>
      </c>
      <c r="I300" s="236" t="s">
        <v>385</v>
      </c>
      <c r="J300" s="237">
        <v>2</v>
      </c>
      <c r="K300" s="237">
        <v>3</v>
      </c>
      <c r="L300" s="237">
        <v>9</v>
      </c>
      <c r="M300" s="232">
        <f t="shared" si="91"/>
        <v>1</v>
      </c>
      <c r="N300" s="238" t="s">
        <v>69</v>
      </c>
      <c r="O300" s="239" t="s">
        <v>70</v>
      </c>
      <c r="P300" s="240">
        <v>1</v>
      </c>
      <c r="Q300" s="241">
        <f t="shared" si="92"/>
        <v>0</v>
      </c>
      <c r="R300" s="241">
        <f t="shared" si="93"/>
        <v>0</v>
      </c>
      <c r="S300" s="242" t="s">
        <v>56</v>
      </c>
      <c r="T300" s="238">
        <v>0</v>
      </c>
      <c r="U300" s="243" t="str">
        <f t="shared" si="94"/>
        <v>SUBDIRECCION DE GESTION CONTRACTUAL</v>
      </c>
      <c r="V300" s="232" t="str">
        <f t="shared" si="95"/>
        <v>CO-DC</v>
      </c>
      <c r="W300" s="243" t="str">
        <f t="shared" si="96"/>
        <v>Distrito Capital de Bogotá</v>
      </c>
      <c r="X300" s="244" t="s">
        <v>383</v>
      </c>
      <c r="Y300" s="245">
        <v>2427400</v>
      </c>
      <c r="Z300" s="246" t="s">
        <v>384</v>
      </c>
    </row>
    <row r="301" spans="1:26" s="5" customFormat="1" ht="12.75" customHeight="1" x14ac:dyDescent="0.25">
      <c r="A301" s="231" t="s">
        <v>379</v>
      </c>
      <c r="B301" s="232">
        <v>16</v>
      </c>
      <c r="C301" s="233" t="s">
        <v>399</v>
      </c>
      <c r="D301" s="233" t="s">
        <v>400</v>
      </c>
      <c r="E301" s="234"/>
      <c r="F301" s="234">
        <f>372760055-17396600</f>
        <v>355363455</v>
      </c>
      <c r="G301" s="234"/>
      <c r="H301" s="235">
        <v>80111600</v>
      </c>
      <c r="I301" s="236" t="s">
        <v>382</v>
      </c>
      <c r="J301" s="237">
        <v>1</v>
      </c>
      <c r="K301" s="237">
        <v>1</v>
      </c>
      <c r="L301" s="237">
        <v>12</v>
      </c>
      <c r="M301" s="232">
        <f t="shared" si="91"/>
        <v>1</v>
      </c>
      <c r="N301" s="238" t="s">
        <v>54</v>
      </c>
      <c r="O301" s="239" t="s">
        <v>55</v>
      </c>
      <c r="P301" s="240">
        <f>IF(ISBLANK(N301),"",1)</f>
        <v>1</v>
      </c>
      <c r="Q301" s="241">
        <f t="shared" si="92"/>
        <v>355363455</v>
      </c>
      <c r="R301" s="241">
        <f t="shared" si="93"/>
        <v>355363455</v>
      </c>
      <c r="S301" s="242" t="s">
        <v>56</v>
      </c>
      <c r="T301" s="238">
        <f>IF(ISBLANK(S301),"",IF(VALUE(S301)=0,0,IF(VALUE(S301)=1,3,"")))</f>
        <v>0</v>
      </c>
      <c r="U301" s="243" t="str">
        <f t="shared" si="94"/>
        <v>SUBDIRECCION DE GESTION CONTRACTUAL</v>
      </c>
      <c r="V301" s="232" t="str">
        <f t="shared" si="95"/>
        <v>CO-DC</v>
      </c>
      <c r="W301" s="243" t="str">
        <f t="shared" si="96"/>
        <v>Distrito Capital de Bogotá</v>
      </c>
      <c r="X301" s="244" t="s">
        <v>1067</v>
      </c>
      <c r="Y301" s="245">
        <v>2427400</v>
      </c>
      <c r="Z301" s="85" t="s">
        <v>1068</v>
      </c>
    </row>
    <row r="302" spans="1:26" s="5" customFormat="1" ht="12.75" customHeight="1" x14ac:dyDescent="0.2">
      <c r="A302" s="231" t="s">
        <v>379</v>
      </c>
      <c r="B302" s="232">
        <v>17</v>
      </c>
      <c r="C302" s="233" t="s">
        <v>399</v>
      </c>
      <c r="D302" s="233" t="s">
        <v>400</v>
      </c>
      <c r="E302" s="234"/>
      <c r="F302" s="234">
        <f>50373850+22674900</f>
        <v>73048750</v>
      </c>
      <c r="G302" s="234"/>
      <c r="H302" s="235" t="s">
        <v>59</v>
      </c>
      <c r="I302" s="236" t="s">
        <v>392</v>
      </c>
      <c r="J302" s="247">
        <v>3</v>
      </c>
      <c r="K302" s="248">
        <v>4</v>
      </c>
      <c r="L302" s="249">
        <v>9</v>
      </c>
      <c r="M302" s="232">
        <f t="shared" si="91"/>
        <v>1</v>
      </c>
      <c r="N302" s="238" t="s">
        <v>61</v>
      </c>
      <c r="O302" s="239" t="s">
        <v>62</v>
      </c>
      <c r="P302" s="240">
        <v>1</v>
      </c>
      <c r="Q302" s="241">
        <f t="shared" si="92"/>
        <v>73048750</v>
      </c>
      <c r="R302" s="241">
        <f t="shared" si="93"/>
        <v>73048750</v>
      </c>
      <c r="S302" s="242" t="s">
        <v>56</v>
      </c>
      <c r="T302" s="238">
        <v>0</v>
      </c>
      <c r="U302" s="243" t="str">
        <f t="shared" si="94"/>
        <v>SUBDIRECCION DE GESTION CONTRACTUAL</v>
      </c>
      <c r="V302" s="232" t="str">
        <f t="shared" si="95"/>
        <v>CO-DC</v>
      </c>
      <c r="W302" s="243" t="str">
        <f t="shared" si="96"/>
        <v>Distrito Capital de Bogotá</v>
      </c>
      <c r="X302" s="244" t="s">
        <v>383</v>
      </c>
      <c r="Y302" s="245">
        <v>2427400</v>
      </c>
      <c r="Z302" s="246" t="s">
        <v>384</v>
      </c>
    </row>
    <row r="303" spans="1:26" s="5" customFormat="1" ht="12.75" customHeight="1" x14ac:dyDescent="0.2">
      <c r="A303" s="231" t="s">
        <v>379</v>
      </c>
      <c r="B303" s="232">
        <v>18</v>
      </c>
      <c r="C303" s="233" t="s">
        <v>399</v>
      </c>
      <c r="D303" s="233" t="s">
        <v>400</v>
      </c>
      <c r="E303" s="234"/>
      <c r="F303" s="234">
        <v>644981800</v>
      </c>
      <c r="G303" s="234"/>
      <c r="H303" s="235" t="s">
        <v>67</v>
      </c>
      <c r="I303" s="236" t="s">
        <v>385</v>
      </c>
      <c r="J303" s="247">
        <v>2</v>
      </c>
      <c r="K303" s="248">
        <v>3</v>
      </c>
      <c r="L303" s="249">
        <v>9</v>
      </c>
      <c r="M303" s="232">
        <f t="shared" si="91"/>
        <v>1</v>
      </c>
      <c r="N303" s="238" t="s">
        <v>69</v>
      </c>
      <c r="O303" s="239" t="s">
        <v>70</v>
      </c>
      <c r="P303" s="240">
        <v>1</v>
      </c>
      <c r="Q303" s="241">
        <f t="shared" si="92"/>
        <v>644981800</v>
      </c>
      <c r="R303" s="241">
        <f t="shared" si="93"/>
        <v>644981800</v>
      </c>
      <c r="S303" s="242" t="s">
        <v>56</v>
      </c>
      <c r="T303" s="238">
        <v>0</v>
      </c>
      <c r="U303" s="243" t="str">
        <f t="shared" si="94"/>
        <v>SUBDIRECCION DE GESTION CONTRACTUAL</v>
      </c>
      <c r="V303" s="232" t="str">
        <f t="shared" si="95"/>
        <v>CO-DC</v>
      </c>
      <c r="W303" s="243" t="str">
        <f t="shared" si="96"/>
        <v>Distrito Capital de Bogotá</v>
      </c>
      <c r="X303" s="244" t="s">
        <v>383</v>
      </c>
      <c r="Y303" s="245">
        <v>2427400</v>
      </c>
      <c r="Z303" s="246" t="s">
        <v>384</v>
      </c>
    </row>
    <row r="304" spans="1:26" s="5" customFormat="1" ht="12.75" customHeight="1" x14ac:dyDescent="0.2">
      <c r="A304" s="231" t="s">
        <v>379</v>
      </c>
      <c r="B304" s="232">
        <v>19</v>
      </c>
      <c r="C304" s="233" t="s">
        <v>399</v>
      </c>
      <c r="D304" s="233" t="s">
        <v>400</v>
      </c>
      <c r="E304" s="234"/>
      <c r="F304" s="234">
        <v>30000000</v>
      </c>
      <c r="G304" s="234"/>
      <c r="H304" s="235" t="s">
        <v>67</v>
      </c>
      <c r="I304" s="236" t="s">
        <v>385</v>
      </c>
      <c r="J304" s="237">
        <v>2</v>
      </c>
      <c r="K304" s="237">
        <v>3</v>
      </c>
      <c r="L304" s="237">
        <v>9</v>
      </c>
      <c r="M304" s="232">
        <f t="shared" si="91"/>
        <v>1</v>
      </c>
      <c r="N304" s="238" t="s">
        <v>69</v>
      </c>
      <c r="O304" s="239" t="s">
        <v>70</v>
      </c>
      <c r="P304" s="240">
        <v>1</v>
      </c>
      <c r="Q304" s="241">
        <f t="shared" si="92"/>
        <v>30000000</v>
      </c>
      <c r="R304" s="241">
        <f t="shared" si="93"/>
        <v>30000000</v>
      </c>
      <c r="S304" s="242" t="s">
        <v>56</v>
      </c>
      <c r="T304" s="238">
        <v>0</v>
      </c>
      <c r="U304" s="243" t="str">
        <f t="shared" si="94"/>
        <v>SUBDIRECCION DE GESTION CONTRACTUAL</v>
      </c>
      <c r="V304" s="232" t="str">
        <f t="shared" si="95"/>
        <v>CO-DC</v>
      </c>
      <c r="W304" s="243" t="str">
        <f t="shared" si="96"/>
        <v>Distrito Capital de Bogotá</v>
      </c>
      <c r="X304" s="244" t="s">
        <v>383</v>
      </c>
      <c r="Y304" s="245">
        <v>2427400</v>
      </c>
      <c r="Z304" s="246" t="s">
        <v>384</v>
      </c>
    </row>
    <row r="305" spans="1:26" s="5" customFormat="1" ht="12.75" customHeight="1" x14ac:dyDescent="0.2">
      <c r="A305" s="231" t="s">
        <v>379</v>
      </c>
      <c r="B305" s="232">
        <v>20</v>
      </c>
      <c r="C305" s="233" t="s">
        <v>399</v>
      </c>
      <c r="D305" s="233" t="s">
        <v>400</v>
      </c>
      <c r="E305" s="234"/>
      <c r="F305" s="234">
        <v>25000000</v>
      </c>
      <c r="G305" s="234"/>
      <c r="H305" s="235" t="s">
        <v>203</v>
      </c>
      <c r="I305" s="236" t="s">
        <v>401</v>
      </c>
      <c r="J305" s="247">
        <v>8</v>
      </c>
      <c r="K305" s="248">
        <v>8</v>
      </c>
      <c r="L305" s="249">
        <v>4</v>
      </c>
      <c r="M305" s="232">
        <v>1</v>
      </c>
      <c r="N305" s="238" t="s">
        <v>54</v>
      </c>
      <c r="O305" s="239" t="s">
        <v>55</v>
      </c>
      <c r="P305" s="240">
        <v>1</v>
      </c>
      <c r="Q305" s="241">
        <f t="shared" si="92"/>
        <v>25000000</v>
      </c>
      <c r="R305" s="241">
        <f t="shared" si="93"/>
        <v>25000000</v>
      </c>
      <c r="S305" s="242" t="s">
        <v>56</v>
      </c>
      <c r="T305" s="238">
        <v>0</v>
      </c>
      <c r="U305" s="243" t="str">
        <f t="shared" si="94"/>
        <v>SUBDIRECCION DE GESTION CONTRACTUAL</v>
      </c>
      <c r="V305" s="232" t="str">
        <f t="shared" si="95"/>
        <v>CO-DC</v>
      </c>
      <c r="W305" s="243" t="str">
        <f t="shared" si="96"/>
        <v>Distrito Capital de Bogotá</v>
      </c>
      <c r="X305" s="244" t="s">
        <v>121</v>
      </c>
      <c r="Y305" s="232">
        <v>2427400</v>
      </c>
      <c r="Z305" s="246" t="s">
        <v>122</v>
      </c>
    </row>
    <row r="306" spans="1:26" s="5" customFormat="1" ht="12.75" customHeight="1" x14ac:dyDescent="0.2">
      <c r="A306" s="231" t="s">
        <v>379</v>
      </c>
      <c r="B306" s="232">
        <v>21</v>
      </c>
      <c r="C306" s="233" t="s">
        <v>399</v>
      </c>
      <c r="D306" s="233" t="s">
        <v>400</v>
      </c>
      <c r="E306" s="234"/>
      <c r="F306" s="234">
        <v>490217170</v>
      </c>
      <c r="G306" s="234"/>
      <c r="H306" s="251" t="s">
        <v>402</v>
      </c>
      <c r="I306" s="236" t="s">
        <v>403</v>
      </c>
      <c r="J306" s="237">
        <v>6</v>
      </c>
      <c r="K306" s="237">
        <v>6</v>
      </c>
      <c r="L306" s="237">
        <v>6</v>
      </c>
      <c r="M306" s="232">
        <f t="shared" ref="M306:M314" si="97">IF(ISBLANK(J306),"",1)</f>
        <v>1</v>
      </c>
      <c r="N306" s="238" t="s">
        <v>64</v>
      </c>
      <c r="O306" s="239" t="s">
        <v>65</v>
      </c>
      <c r="P306" s="240">
        <v>1</v>
      </c>
      <c r="Q306" s="241">
        <f t="shared" si="92"/>
        <v>490217170</v>
      </c>
      <c r="R306" s="241">
        <f t="shared" si="93"/>
        <v>490217170</v>
      </c>
      <c r="S306" s="242" t="s">
        <v>56</v>
      </c>
      <c r="T306" s="238">
        <v>0</v>
      </c>
      <c r="U306" s="243" t="str">
        <f t="shared" si="94"/>
        <v>SUBDIRECCION DE GESTION CONTRACTUAL</v>
      </c>
      <c r="V306" s="232" t="str">
        <f t="shared" si="95"/>
        <v>CO-DC</v>
      </c>
      <c r="W306" s="243" t="str">
        <f t="shared" si="96"/>
        <v>Distrito Capital de Bogotá</v>
      </c>
      <c r="X306" s="244" t="s">
        <v>383</v>
      </c>
      <c r="Y306" s="245">
        <v>2427400</v>
      </c>
      <c r="Z306" s="246" t="s">
        <v>384</v>
      </c>
    </row>
    <row r="307" spans="1:26" s="5" customFormat="1" ht="12.75" customHeight="1" x14ac:dyDescent="0.2">
      <c r="A307" s="231" t="s">
        <v>379</v>
      </c>
      <c r="B307" s="232">
        <v>22</v>
      </c>
      <c r="C307" s="233" t="s">
        <v>399</v>
      </c>
      <c r="D307" s="233" t="s">
        <v>400</v>
      </c>
      <c r="E307" s="234"/>
      <c r="F307" s="234">
        <v>93675000</v>
      </c>
      <c r="G307" s="234"/>
      <c r="H307" s="235" t="s">
        <v>260</v>
      </c>
      <c r="I307" s="236" t="s">
        <v>404</v>
      </c>
      <c r="J307" s="237">
        <v>2</v>
      </c>
      <c r="K307" s="237">
        <v>3</v>
      </c>
      <c r="L307" s="237">
        <v>9</v>
      </c>
      <c r="M307" s="232">
        <f t="shared" si="97"/>
        <v>1</v>
      </c>
      <c r="N307" s="238" t="s">
        <v>69</v>
      </c>
      <c r="O307" s="239" t="s">
        <v>70</v>
      </c>
      <c r="P307" s="240">
        <v>1</v>
      </c>
      <c r="Q307" s="241">
        <f t="shared" si="92"/>
        <v>93675000</v>
      </c>
      <c r="R307" s="241">
        <f t="shared" si="93"/>
        <v>93675000</v>
      </c>
      <c r="S307" s="242" t="s">
        <v>56</v>
      </c>
      <c r="T307" s="238">
        <v>0</v>
      </c>
      <c r="U307" s="243" t="str">
        <f t="shared" si="94"/>
        <v>SUBDIRECCION DE GESTION CONTRACTUAL</v>
      </c>
      <c r="V307" s="232" t="str">
        <f t="shared" si="95"/>
        <v>CO-DC</v>
      </c>
      <c r="W307" s="243" t="str">
        <f t="shared" si="96"/>
        <v>Distrito Capital de Bogotá</v>
      </c>
      <c r="X307" s="244" t="s">
        <v>395</v>
      </c>
      <c r="Y307" s="245">
        <v>3213062649</v>
      </c>
      <c r="Z307" s="246" t="s">
        <v>396</v>
      </c>
    </row>
    <row r="308" spans="1:26" s="5" customFormat="1" ht="12.75" customHeight="1" x14ac:dyDescent="0.2">
      <c r="A308" s="231" t="s">
        <v>379</v>
      </c>
      <c r="B308" s="232">
        <v>23</v>
      </c>
      <c r="C308" s="233" t="s">
        <v>405</v>
      </c>
      <c r="D308" s="233" t="s">
        <v>400</v>
      </c>
      <c r="E308" s="234"/>
      <c r="F308" s="234">
        <v>54000000</v>
      </c>
      <c r="G308" s="234"/>
      <c r="H308" s="235">
        <v>80111600</v>
      </c>
      <c r="I308" s="236" t="s">
        <v>382</v>
      </c>
      <c r="J308" s="237">
        <v>1</v>
      </c>
      <c r="K308" s="237">
        <v>1</v>
      </c>
      <c r="L308" s="237">
        <v>12</v>
      </c>
      <c r="M308" s="232">
        <f t="shared" si="97"/>
        <v>1</v>
      </c>
      <c r="N308" s="238" t="s">
        <v>54</v>
      </c>
      <c r="O308" s="239" t="s">
        <v>55</v>
      </c>
      <c r="P308" s="240">
        <f>IF(ISBLANK(N308),"",1)</f>
        <v>1</v>
      </c>
      <c r="Q308" s="241">
        <f t="shared" si="92"/>
        <v>54000000</v>
      </c>
      <c r="R308" s="241">
        <f t="shared" si="93"/>
        <v>54000000</v>
      </c>
      <c r="S308" s="242" t="s">
        <v>56</v>
      </c>
      <c r="T308" s="238">
        <f>IF(ISBLANK(S308),"",IF(VALUE(S308)=0,0,IF(VALUE(S308)=1,3,"")))</f>
        <v>0</v>
      </c>
      <c r="U308" s="243" t="str">
        <f t="shared" si="94"/>
        <v>SUBDIRECCION DE GESTION CONTRACTUAL</v>
      </c>
      <c r="V308" s="232" t="str">
        <f t="shared" si="95"/>
        <v>CO-DC</v>
      </c>
      <c r="W308" s="243" t="str">
        <f t="shared" si="96"/>
        <v>Distrito Capital de Bogotá</v>
      </c>
      <c r="X308" s="244" t="s">
        <v>383</v>
      </c>
      <c r="Y308" s="245">
        <v>2427400</v>
      </c>
      <c r="Z308" s="246" t="s">
        <v>384</v>
      </c>
    </row>
    <row r="309" spans="1:26" s="5" customFormat="1" ht="12.75" customHeight="1" x14ac:dyDescent="0.2">
      <c r="A309" s="231" t="s">
        <v>379</v>
      </c>
      <c r="B309" s="232">
        <v>24</v>
      </c>
      <c r="C309" s="233" t="s">
        <v>405</v>
      </c>
      <c r="D309" s="233" t="s">
        <v>400</v>
      </c>
      <c r="E309" s="234"/>
      <c r="F309" s="234">
        <v>9415000</v>
      </c>
      <c r="G309" s="234"/>
      <c r="H309" s="235" t="s">
        <v>59</v>
      </c>
      <c r="I309" s="236" t="s">
        <v>392</v>
      </c>
      <c r="J309" s="247">
        <v>3</v>
      </c>
      <c r="K309" s="248">
        <v>4</v>
      </c>
      <c r="L309" s="249">
        <v>9</v>
      </c>
      <c r="M309" s="232">
        <f t="shared" si="97"/>
        <v>1</v>
      </c>
      <c r="N309" s="238" t="s">
        <v>61</v>
      </c>
      <c r="O309" s="239" t="s">
        <v>62</v>
      </c>
      <c r="P309" s="240">
        <v>1</v>
      </c>
      <c r="Q309" s="241">
        <f t="shared" si="92"/>
        <v>9415000</v>
      </c>
      <c r="R309" s="241">
        <f t="shared" si="93"/>
        <v>9415000</v>
      </c>
      <c r="S309" s="242" t="s">
        <v>56</v>
      </c>
      <c r="T309" s="238">
        <v>0</v>
      </c>
      <c r="U309" s="243" t="str">
        <f t="shared" si="94"/>
        <v>SUBDIRECCION DE GESTION CONTRACTUAL</v>
      </c>
      <c r="V309" s="232" t="str">
        <f t="shared" si="95"/>
        <v>CO-DC</v>
      </c>
      <c r="W309" s="243" t="str">
        <f t="shared" si="96"/>
        <v>Distrito Capital de Bogotá</v>
      </c>
      <c r="X309" s="244" t="s">
        <v>383</v>
      </c>
      <c r="Y309" s="245">
        <v>2427400</v>
      </c>
      <c r="Z309" s="246" t="s">
        <v>384</v>
      </c>
    </row>
    <row r="310" spans="1:26" s="5" customFormat="1" ht="12.75" customHeight="1" x14ac:dyDescent="0.2">
      <c r="A310" s="231" t="s">
        <v>379</v>
      </c>
      <c r="B310" s="232">
        <v>25</v>
      </c>
      <c r="C310" s="233" t="s">
        <v>405</v>
      </c>
      <c r="D310" s="233" t="s">
        <v>400</v>
      </c>
      <c r="E310" s="234"/>
      <c r="F310" s="234">
        <v>264370750</v>
      </c>
      <c r="G310" s="234"/>
      <c r="H310" s="235" t="s">
        <v>67</v>
      </c>
      <c r="I310" s="236" t="s">
        <v>385</v>
      </c>
      <c r="J310" s="247">
        <v>2</v>
      </c>
      <c r="K310" s="248">
        <v>3</v>
      </c>
      <c r="L310" s="249">
        <v>9</v>
      </c>
      <c r="M310" s="232">
        <f t="shared" si="97"/>
        <v>1</v>
      </c>
      <c r="N310" s="238" t="s">
        <v>69</v>
      </c>
      <c r="O310" s="239" t="s">
        <v>70</v>
      </c>
      <c r="P310" s="240">
        <v>1</v>
      </c>
      <c r="Q310" s="241">
        <f t="shared" si="92"/>
        <v>264370750</v>
      </c>
      <c r="R310" s="241">
        <f t="shared" si="93"/>
        <v>264370750</v>
      </c>
      <c r="S310" s="242" t="s">
        <v>56</v>
      </c>
      <c r="T310" s="238">
        <v>0</v>
      </c>
      <c r="U310" s="243" t="str">
        <f t="shared" si="94"/>
        <v>SUBDIRECCION DE GESTION CONTRACTUAL</v>
      </c>
      <c r="V310" s="232" t="str">
        <f t="shared" si="95"/>
        <v>CO-DC</v>
      </c>
      <c r="W310" s="243" t="str">
        <f t="shared" si="96"/>
        <v>Distrito Capital de Bogotá</v>
      </c>
      <c r="X310" s="244" t="s">
        <v>383</v>
      </c>
      <c r="Y310" s="245">
        <v>2427400</v>
      </c>
      <c r="Z310" s="246" t="s">
        <v>384</v>
      </c>
    </row>
    <row r="311" spans="1:26" s="5" customFormat="1" ht="12.75" customHeight="1" thickBot="1" x14ac:dyDescent="0.25">
      <c r="A311" s="231" t="s">
        <v>379</v>
      </c>
      <c r="B311" s="232">
        <v>26</v>
      </c>
      <c r="C311" s="233" t="s">
        <v>406</v>
      </c>
      <c r="D311" s="233" t="s">
        <v>381</v>
      </c>
      <c r="E311" s="234"/>
      <c r="F311" s="234">
        <f>2413647155+83000000+120000000+13484616</f>
        <v>2630131771</v>
      </c>
      <c r="G311" s="234"/>
      <c r="H311" s="235">
        <v>80111600</v>
      </c>
      <c r="I311" s="236" t="s">
        <v>382</v>
      </c>
      <c r="J311" s="237">
        <v>1</v>
      </c>
      <c r="K311" s="237">
        <v>1</v>
      </c>
      <c r="L311" s="237">
        <v>12</v>
      </c>
      <c r="M311" s="232">
        <f t="shared" si="97"/>
        <v>1</v>
      </c>
      <c r="N311" s="238" t="s">
        <v>54</v>
      </c>
      <c r="O311" s="239" t="s">
        <v>55</v>
      </c>
      <c r="P311" s="240">
        <f>IF(ISBLANK(N311),"",1)</f>
        <v>1</v>
      </c>
      <c r="Q311" s="241">
        <f t="shared" si="92"/>
        <v>2630131771</v>
      </c>
      <c r="R311" s="241">
        <f t="shared" si="93"/>
        <v>2630131771</v>
      </c>
      <c r="S311" s="242" t="s">
        <v>56</v>
      </c>
      <c r="T311" s="238">
        <f>IF(ISBLANK(S311),"",IF(VALUE(S311)=0,0,IF(VALUE(S311)=1,3,"")))</f>
        <v>0</v>
      </c>
      <c r="U311" s="243" t="str">
        <f t="shared" si="94"/>
        <v>SUBDIRECCION DE GESTION CONTRACTUAL</v>
      </c>
      <c r="V311" s="232" t="str">
        <f t="shared" si="95"/>
        <v>CO-DC</v>
      </c>
      <c r="W311" s="243" t="str">
        <f t="shared" si="96"/>
        <v>Distrito Capital de Bogotá</v>
      </c>
      <c r="X311" s="244" t="s">
        <v>395</v>
      </c>
      <c r="Y311" s="245">
        <v>3213062649</v>
      </c>
      <c r="Z311" s="246" t="s">
        <v>396</v>
      </c>
    </row>
    <row r="312" spans="1:26" s="5" customFormat="1" ht="12.75" customHeight="1" x14ac:dyDescent="0.2">
      <c r="A312" s="231" t="s">
        <v>379</v>
      </c>
      <c r="B312" s="232">
        <v>27</v>
      </c>
      <c r="C312" s="233" t="s">
        <v>406</v>
      </c>
      <c r="D312" s="233" t="s">
        <v>381</v>
      </c>
      <c r="E312" s="234"/>
      <c r="F312" s="234">
        <f>276460000+32500690-13484616</f>
        <v>295476074</v>
      </c>
      <c r="G312" s="234"/>
      <c r="H312" s="235" t="s">
        <v>59</v>
      </c>
      <c r="I312" s="236" t="s">
        <v>392</v>
      </c>
      <c r="J312" s="247">
        <v>3</v>
      </c>
      <c r="K312" s="248">
        <v>4</v>
      </c>
      <c r="L312" s="249">
        <v>9</v>
      </c>
      <c r="M312" s="232">
        <f t="shared" si="97"/>
        <v>1</v>
      </c>
      <c r="N312" s="252" t="s">
        <v>61</v>
      </c>
      <c r="O312" s="239" t="s">
        <v>62</v>
      </c>
      <c r="P312" s="240">
        <v>1</v>
      </c>
      <c r="Q312" s="241">
        <f t="shared" si="92"/>
        <v>295476074</v>
      </c>
      <c r="R312" s="241">
        <f t="shared" si="93"/>
        <v>295476074</v>
      </c>
      <c r="S312" s="242" t="s">
        <v>56</v>
      </c>
      <c r="T312" s="238">
        <v>0</v>
      </c>
      <c r="U312" s="243" t="str">
        <f t="shared" si="94"/>
        <v>SUBDIRECCION DE GESTION CONTRACTUAL</v>
      </c>
      <c r="V312" s="232" t="str">
        <f t="shared" si="95"/>
        <v>CO-DC</v>
      </c>
      <c r="W312" s="243" t="str">
        <f t="shared" si="96"/>
        <v>Distrito Capital de Bogotá</v>
      </c>
      <c r="X312" s="244" t="s">
        <v>395</v>
      </c>
      <c r="Y312" s="245">
        <v>3213062649</v>
      </c>
      <c r="Z312" s="246" t="s">
        <v>396</v>
      </c>
    </row>
    <row r="313" spans="1:26" s="5" customFormat="1" ht="12.75" customHeight="1" x14ac:dyDescent="0.2">
      <c r="A313" s="231" t="s">
        <v>379</v>
      </c>
      <c r="B313" s="232">
        <v>28</v>
      </c>
      <c r="C313" s="233" t="s">
        <v>406</v>
      </c>
      <c r="D313" s="233" t="s">
        <v>381</v>
      </c>
      <c r="E313" s="234"/>
      <c r="F313" s="234">
        <v>1891393118</v>
      </c>
      <c r="G313" s="234"/>
      <c r="H313" s="235" t="s">
        <v>67</v>
      </c>
      <c r="I313" s="236" t="s">
        <v>385</v>
      </c>
      <c r="J313" s="247">
        <v>2</v>
      </c>
      <c r="K313" s="248">
        <v>3</v>
      </c>
      <c r="L313" s="249">
        <v>9</v>
      </c>
      <c r="M313" s="232">
        <f t="shared" si="97"/>
        <v>1</v>
      </c>
      <c r="N313" s="238" t="s">
        <v>69</v>
      </c>
      <c r="O313" s="239" t="s">
        <v>70</v>
      </c>
      <c r="P313" s="240">
        <v>1</v>
      </c>
      <c r="Q313" s="241">
        <f t="shared" si="92"/>
        <v>1891393118</v>
      </c>
      <c r="R313" s="241">
        <f t="shared" si="93"/>
        <v>1891393118</v>
      </c>
      <c r="S313" s="242" t="s">
        <v>56</v>
      </c>
      <c r="T313" s="238">
        <v>0</v>
      </c>
      <c r="U313" s="243" t="str">
        <f t="shared" si="94"/>
        <v>SUBDIRECCION DE GESTION CONTRACTUAL</v>
      </c>
      <c r="V313" s="232" t="str">
        <f t="shared" si="95"/>
        <v>CO-DC</v>
      </c>
      <c r="W313" s="243" t="str">
        <f t="shared" si="96"/>
        <v>Distrito Capital de Bogotá</v>
      </c>
      <c r="X313" s="244" t="s">
        <v>383</v>
      </c>
      <c r="Y313" s="245">
        <v>2427400</v>
      </c>
      <c r="Z313" s="246" t="s">
        <v>384</v>
      </c>
    </row>
    <row r="314" spans="1:26" s="5" customFormat="1" ht="12.75" customHeight="1" x14ac:dyDescent="0.2">
      <c r="A314" s="231" t="s">
        <v>379</v>
      </c>
      <c r="B314" s="232">
        <v>29</v>
      </c>
      <c r="C314" s="233" t="s">
        <v>406</v>
      </c>
      <c r="D314" s="233" t="s">
        <v>381</v>
      </c>
      <c r="E314" s="234"/>
      <c r="F314" s="234">
        <v>482500000</v>
      </c>
      <c r="G314" s="234"/>
      <c r="H314" s="235" t="s">
        <v>67</v>
      </c>
      <c r="I314" s="236" t="s">
        <v>385</v>
      </c>
      <c r="J314" s="237">
        <v>2</v>
      </c>
      <c r="K314" s="237">
        <v>3</v>
      </c>
      <c r="L314" s="237">
        <v>9</v>
      </c>
      <c r="M314" s="232">
        <f t="shared" si="97"/>
        <v>1</v>
      </c>
      <c r="N314" s="238" t="s">
        <v>69</v>
      </c>
      <c r="O314" s="239" t="s">
        <v>70</v>
      </c>
      <c r="P314" s="240">
        <v>1</v>
      </c>
      <c r="Q314" s="241">
        <f t="shared" si="92"/>
        <v>482500000</v>
      </c>
      <c r="R314" s="241">
        <f t="shared" si="93"/>
        <v>482500000</v>
      </c>
      <c r="S314" s="242" t="s">
        <v>56</v>
      </c>
      <c r="T314" s="238">
        <v>0</v>
      </c>
      <c r="U314" s="243" t="str">
        <f t="shared" si="94"/>
        <v>SUBDIRECCION DE GESTION CONTRACTUAL</v>
      </c>
      <c r="V314" s="232" t="str">
        <f t="shared" si="95"/>
        <v>CO-DC</v>
      </c>
      <c r="W314" s="243" t="str">
        <f t="shared" si="96"/>
        <v>Distrito Capital de Bogotá</v>
      </c>
      <c r="X314" s="244" t="s">
        <v>383</v>
      </c>
      <c r="Y314" s="245">
        <v>2427400</v>
      </c>
      <c r="Z314" s="246" t="s">
        <v>384</v>
      </c>
    </row>
    <row r="315" spans="1:26" s="5" customFormat="1" ht="12.75" customHeight="1" x14ac:dyDescent="0.2">
      <c r="A315" s="231" t="s">
        <v>379</v>
      </c>
      <c r="B315" s="232">
        <v>30</v>
      </c>
      <c r="C315" s="233" t="s">
        <v>406</v>
      </c>
      <c r="D315" s="233" t="s">
        <v>381</v>
      </c>
      <c r="E315" s="234"/>
      <c r="F315" s="234">
        <v>100000000</v>
      </c>
      <c r="G315" s="234"/>
      <c r="H315" s="235" t="s">
        <v>203</v>
      </c>
      <c r="I315" s="236" t="s">
        <v>401</v>
      </c>
      <c r="J315" s="247">
        <v>8</v>
      </c>
      <c r="K315" s="248">
        <v>8</v>
      </c>
      <c r="L315" s="249">
        <v>4</v>
      </c>
      <c r="M315" s="232">
        <v>1</v>
      </c>
      <c r="N315" s="238" t="s">
        <v>54</v>
      </c>
      <c r="O315" s="239" t="s">
        <v>55</v>
      </c>
      <c r="P315" s="240">
        <v>1</v>
      </c>
      <c r="Q315" s="241">
        <f t="shared" si="92"/>
        <v>100000000</v>
      </c>
      <c r="R315" s="241">
        <f t="shared" si="93"/>
        <v>100000000</v>
      </c>
      <c r="S315" s="242" t="s">
        <v>56</v>
      </c>
      <c r="T315" s="238">
        <v>0</v>
      </c>
      <c r="U315" s="243" t="str">
        <f t="shared" si="94"/>
        <v>SUBDIRECCION DE GESTION CONTRACTUAL</v>
      </c>
      <c r="V315" s="232" t="str">
        <f t="shared" si="95"/>
        <v>CO-DC</v>
      </c>
      <c r="W315" s="243" t="str">
        <f t="shared" si="96"/>
        <v>Distrito Capital de Bogotá</v>
      </c>
      <c r="X315" s="244" t="s">
        <v>121</v>
      </c>
      <c r="Y315" s="232">
        <v>2427400</v>
      </c>
      <c r="Z315" s="246" t="s">
        <v>122</v>
      </c>
    </row>
    <row r="316" spans="1:26" s="5" customFormat="1" ht="12.75" customHeight="1" x14ac:dyDescent="0.2">
      <c r="A316" s="231" t="s">
        <v>379</v>
      </c>
      <c r="B316" s="232">
        <v>31</v>
      </c>
      <c r="C316" s="233" t="s">
        <v>406</v>
      </c>
      <c r="D316" s="233" t="s">
        <v>381</v>
      </c>
      <c r="E316" s="234"/>
      <c r="F316" s="234">
        <v>198963482</v>
      </c>
      <c r="G316" s="234"/>
      <c r="H316" s="235" t="s">
        <v>71</v>
      </c>
      <c r="I316" s="236" t="s">
        <v>393</v>
      </c>
      <c r="J316" s="247">
        <v>2</v>
      </c>
      <c r="K316" s="248">
        <v>3</v>
      </c>
      <c r="L316" s="249">
        <v>10</v>
      </c>
      <c r="M316" s="232">
        <f>IF(ISBLANK(J316),"",1)</f>
        <v>1</v>
      </c>
      <c r="N316" s="238" t="s">
        <v>64</v>
      </c>
      <c r="O316" s="239" t="s">
        <v>65</v>
      </c>
      <c r="P316" s="240">
        <v>1</v>
      </c>
      <c r="Q316" s="241">
        <f t="shared" si="92"/>
        <v>198963482</v>
      </c>
      <c r="R316" s="241">
        <f t="shared" si="93"/>
        <v>198963482</v>
      </c>
      <c r="S316" s="242" t="s">
        <v>56</v>
      </c>
      <c r="T316" s="238">
        <v>0</v>
      </c>
      <c r="U316" s="243" t="str">
        <f t="shared" si="94"/>
        <v>SUBDIRECCION DE GESTION CONTRACTUAL</v>
      </c>
      <c r="V316" s="232" t="str">
        <f t="shared" si="95"/>
        <v>CO-DC</v>
      </c>
      <c r="W316" s="243" t="str">
        <f t="shared" si="96"/>
        <v>Distrito Capital de Bogotá</v>
      </c>
      <c r="X316" s="244" t="s">
        <v>383</v>
      </c>
      <c r="Y316" s="245">
        <v>2427400</v>
      </c>
      <c r="Z316" s="246" t="s">
        <v>384</v>
      </c>
    </row>
    <row r="317" spans="1:26" s="5" customFormat="1" ht="12.75" customHeight="1" x14ac:dyDescent="0.2">
      <c r="A317" s="231" t="s">
        <v>379</v>
      </c>
      <c r="B317" s="232">
        <v>32</v>
      </c>
      <c r="C317" s="233" t="s">
        <v>406</v>
      </c>
      <c r="D317" s="233" t="s">
        <v>381</v>
      </c>
      <c r="E317" s="234"/>
      <c r="F317" s="234">
        <f>150000000-83000000</f>
        <v>67000000</v>
      </c>
      <c r="G317" s="234"/>
      <c r="H317" s="235" t="s">
        <v>119</v>
      </c>
      <c r="I317" s="236" t="s">
        <v>386</v>
      </c>
      <c r="J317" s="237">
        <v>6</v>
      </c>
      <c r="K317" s="237">
        <v>6</v>
      </c>
      <c r="L317" s="237">
        <v>6</v>
      </c>
      <c r="M317" s="232">
        <f>IF(ISBLANK(J317),"",1)</f>
        <v>1</v>
      </c>
      <c r="N317" s="253" t="s">
        <v>54</v>
      </c>
      <c r="O317" s="239" t="s">
        <v>55</v>
      </c>
      <c r="P317" s="240">
        <v>1</v>
      </c>
      <c r="Q317" s="241">
        <f t="shared" si="92"/>
        <v>67000000</v>
      </c>
      <c r="R317" s="241">
        <f t="shared" si="93"/>
        <v>67000000</v>
      </c>
      <c r="S317" s="242" t="s">
        <v>56</v>
      </c>
      <c r="T317" s="238">
        <v>0</v>
      </c>
      <c r="U317" s="243" t="str">
        <f t="shared" si="94"/>
        <v>SUBDIRECCION DE GESTION CONTRACTUAL</v>
      </c>
      <c r="V317" s="232" t="str">
        <f t="shared" si="95"/>
        <v>CO-DC</v>
      </c>
      <c r="W317" s="243" t="str">
        <f t="shared" si="96"/>
        <v>Distrito Capital de Bogotá</v>
      </c>
      <c r="X317" s="244" t="s">
        <v>387</v>
      </c>
      <c r="Y317" s="245" t="s">
        <v>388</v>
      </c>
      <c r="Z317" s="246" t="s">
        <v>330</v>
      </c>
    </row>
    <row r="318" spans="1:26" s="5" customFormat="1" ht="12.75" customHeight="1" x14ac:dyDescent="0.2">
      <c r="A318" s="231" t="s">
        <v>379</v>
      </c>
      <c r="B318" s="232">
        <v>33</v>
      </c>
      <c r="C318" s="233" t="s">
        <v>406</v>
      </c>
      <c r="D318" s="233" t="s">
        <v>381</v>
      </c>
      <c r="E318" s="234"/>
      <c r="F318" s="234">
        <f>2224340000-500000000</f>
        <v>1724340000</v>
      </c>
      <c r="G318" s="234"/>
      <c r="H318" s="251" t="s">
        <v>402</v>
      </c>
      <c r="I318" s="236" t="s">
        <v>403</v>
      </c>
      <c r="J318" s="237">
        <v>6</v>
      </c>
      <c r="K318" s="237">
        <v>6</v>
      </c>
      <c r="L318" s="237">
        <v>6</v>
      </c>
      <c r="M318" s="232">
        <f>IF(ISBLANK(J318),"",1)</f>
        <v>1</v>
      </c>
      <c r="N318" s="238" t="s">
        <v>64</v>
      </c>
      <c r="O318" s="239" t="s">
        <v>65</v>
      </c>
      <c r="P318" s="240">
        <v>1</v>
      </c>
      <c r="Q318" s="241">
        <f t="shared" si="92"/>
        <v>1724340000</v>
      </c>
      <c r="R318" s="241">
        <f t="shared" si="93"/>
        <v>1724340000</v>
      </c>
      <c r="S318" s="242" t="s">
        <v>56</v>
      </c>
      <c r="T318" s="238">
        <v>0</v>
      </c>
      <c r="U318" s="243" t="str">
        <f t="shared" si="94"/>
        <v>SUBDIRECCION DE GESTION CONTRACTUAL</v>
      </c>
      <c r="V318" s="232" t="str">
        <f t="shared" si="95"/>
        <v>CO-DC</v>
      </c>
      <c r="W318" s="243" t="str">
        <f t="shared" si="96"/>
        <v>Distrito Capital de Bogotá</v>
      </c>
      <c r="X318" s="244" t="s">
        <v>383</v>
      </c>
      <c r="Y318" s="245">
        <v>2427400</v>
      </c>
      <c r="Z318" s="246" t="s">
        <v>384</v>
      </c>
    </row>
    <row r="319" spans="1:26" s="5" customFormat="1" ht="12.75" customHeight="1" x14ac:dyDescent="0.2">
      <c r="A319" s="231" t="s">
        <v>379</v>
      </c>
      <c r="B319" s="232">
        <v>34</v>
      </c>
      <c r="C319" s="233" t="s">
        <v>406</v>
      </c>
      <c r="D319" s="233" t="s">
        <v>381</v>
      </c>
      <c r="E319" s="234"/>
      <c r="F319" s="234">
        <v>150000000</v>
      </c>
      <c r="G319" s="234"/>
      <c r="H319" s="235" t="s">
        <v>407</v>
      </c>
      <c r="I319" s="236" t="s">
        <v>408</v>
      </c>
      <c r="J319" s="237">
        <v>5</v>
      </c>
      <c r="K319" s="237">
        <v>5</v>
      </c>
      <c r="L319" s="237">
        <v>7</v>
      </c>
      <c r="M319" s="232">
        <v>1</v>
      </c>
      <c r="N319" s="238" t="s">
        <v>54</v>
      </c>
      <c r="O319" s="239" t="s">
        <v>55</v>
      </c>
      <c r="P319" s="240">
        <v>1</v>
      </c>
      <c r="Q319" s="241">
        <f t="shared" ref="Q319:Q350" si="98">+E319+F319+G319</f>
        <v>150000000</v>
      </c>
      <c r="R319" s="241">
        <f t="shared" ref="R319:R350" si="99">+F319</f>
        <v>150000000</v>
      </c>
      <c r="S319" s="242" t="s">
        <v>56</v>
      </c>
      <c r="T319" s="238">
        <v>0</v>
      </c>
      <c r="U319" s="243" t="str">
        <f t="shared" si="94"/>
        <v>SUBDIRECCION DE GESTION CONTRACTUAL</v>
      </c>
      <c r="V319" s="232" t="str">
        <f t="shared" si="95"/>
        <v>CO-DC</v>
      </c>
      <c r="W319" s="243" t="str">
        <f t="shared" si="96"/>
        <v>Distrito Capital de Bogotá</v>
      </c>
      <c r="X319" s="244" t="s">
        <v>383</v>
      </c>
      <c r="Y319" s="245">
        <v>2427400</v>
      </c>
      <c r="Z319" s="246" t="s">
        <v>384</v>
      </c>
    </row>
    <row r="320" spans="1:26" s="5" customFormat="1" ht="12.75" customHeight="1" x14ac:dyDescent="0.2">
      <c r="A320" s="231" t="s">
        <v>379</v>
      </c>
      <c r="B320" s="232">
        <v>35</v>
      </c>
      <c r="C320" s="233" t="s">
        <v>406</v>
      </c>
      <c r="D320" s="233" t="s">
        <v>409</v>
      </c>
      <c r="E320" s="234"/>
      <c r="F320" s="234">
        <v>1079500000</v>
      </c>
      <c r="G320" s="234"/>
      <c r="H320" s="235">
        <v>82111902</v>
      </c>
      <c r="I320" s="236" t="s">
        <v>410</v>
      </c>
      <c r="J320" s="237">
        <v>5</v>
      </c>
      <c r="K320" s="237">
        <v>5</v>
      </c>
      <c r="L320" s="237">
        <v>7</v>
      </c>
      <c r="M320" s="232">
        <v>1</v>
      </c>
      <c r="N320" s="238" t="s">
        <v>54</v>
      </c>
      <c r="O320" s="239" t="s">
        <v>55</v>
      </c>
      <c r="P320" s="240">
        <v>1</v>
      </c>
      <c r="Q320" s="241">
        <f t="shared" si="98"/>
        <v>1079500000</v>
      </c>
      <c r="R320" s="241">
        <f t="shared" si="99"/>
        <v>1079500000</v>
      </c>
      <c r="S320" s="242" t="s">
        <v>56</v>
      </c>
      <c r="T320" s="238">
        <v>0</v>
      </c>
      <c r="U320" s="243" t="str">
        <f t="shared" si="94"/>
        <v>SUBDIRECCION DE GESTION CONTRACTUAL</v>
      </c>
      <c r="V320" s="232" t="str">
        <f t="shared" si="95"/>
        <v>CO-DC</v>
      </c>
      <c r="W320" s="243" t="str">
        <f t="shared" si="96"/>
        <v>Distrito Capital de Bogotá</v>
      </c>
      <c r="X320" s="244" t="s">
        <v>383</v>
      </c>
      <c r="Y320" s="245">
        <v>2427400</v>
      </c>
      <c r="Z320" s="246" t="s">
        <v>384</v>
      </c>
    </row>
    <row r="321" spans="1:26" s="5" customFormat="1" ht="12.75" customHeight="1" x14ac:dyDescent="0.2">
      <c r="A321" s="231" t="s">
        <v>379</v>
      </c>
      <c r="B321" s="232">
        <v>36</v>
      </c>
      <c r="C321" s="233" t="s">
        <v>406</v>
      </c>
      <c r="D321" s="233" t="s">
        <v>381</v>
      </c>
      <c r="E321" s="234"/>
      <c r="F321" s="234">
        <f>120000000-120000000</f>
        <v>0</v>
      </c>
      <c r="G321" s="234"/>
      <c r="H321" s="235" t="s">
        <v>411</v>
      </c>
      <c r="I321" s="236" t="s">
        <v>412</v>
      </c>
      <c r="J321" s="237">
        <v>3</v>
      </c>
      <c r="K321" s="237">
        <v>4</v>
      </c>
      <c r="L321" s="237">
        <v>4</v>
      </c>
      <c r="M321" s="232">
        <f t="shared" ref="M321:M327" si="100">IF(ISBLANK(J321),"",1)</f>
        <v>1</v>
      </c>
      <c r="N321" s="238" t="s">
        <v>64</v>
      </c>
      <c r="O321" s="239" t="s">
        <v>65</v>
      </c>
      <c r="P321" s="240">
        <v>1</v>
      </c>
      <c r="Q321" s="241">
        <f t="shared" si="98"/>
        <v>0</v>
      </c>
      <c r="R321" s="241">
        <f t="shared" si="99"/>
        <v>0</v>
      </c>
      <c r="S321" s="242" t="s">
        <v>56</v>
      </c>
      <c r="T321" s="238">
        <v>0</v>
      </c>
      <c r="U321" s="243" t="str">
        <f t="shared" si="94"/>
        <v>SUBDIRECCION DE GESTION CONTRACTUAL</v>
      </c>
      <c r="V321" s="232" t="str">
        <f t="shared" si="95"/>
        <v>CO-DC</v>
      </c>
      <c r="W321" s="243" t="str">
        <f t="shared" si="96"/>
        <v>Distrito Capital de Bogotá</v>
      </c>
      <c r="X321" s="244" t="s">
        <v>383</v>
      </c>
      <c r="Y321" s="245">
        <v>2427400</v>
      </c>
      <c r="Z321" s="246" t="s">
        <v>384</v>
      </c>
    </row>
    <row r="322" spans="1:26" s="5" customFormat="1" ht="12.75" customHeight="1" thickBot="1" x14ac:dyDescent="0.25">
      <c r="A322" s="231" t="s">
        <v>379</v>
      </c>
      <c r="B322" s="232">
        <v>37</v>
      </c>
      <c r="C322" s="233" t="s">
        <v>406</v>
      </c>
      <c r="D322" s="233" t="s">
        <v>381</v>
      </c>
      <c r="E322" s="234"/>
      <c r="F322" s="234">
        <v>842356160</v>
      </c>
      <c r="G322" s="234"/>
      <c r="H322" s="235">
        <v>80101604</v>
      </c>
      <c r="I322" s="236" t="s">
        <v>394</v>
      </c>
      <c r="J322" s="237">
        <v>5</v>
      </c>
      <c r="K322" s="237">
        <v>5</v>
      </c>
      <c r="L322" s="237">
        <v>7</v>
      </c>
      <c r="M322" s="232">
        <f t="shared" si="100"/>
        <v>1</v>
      </c>
      <c r="N322" s="238" t="s">
        <v>64</v>
      </c>
      <c r="O322" s="239" t="s">
        <v>65</v>
      </c>
      <c r="P322" s="240">
        <v>1</v>
      </c>
      <c r="Q322" s="241">
        <f t="shared" si="98"/>
        <v>842356160</v>
      </c>
      <c r="R322" s="241">
        <f t="shared" si="99"/>
        <v>842356160</v>
      </c>
      <c r="S322" s="242" t="s">
        <v>56</v>
      </c>
      <c r="T322" s="238">
        <v>0</v>
      </c>
      <c r="U322" s="243" t="str">
        <f t="shared" si="94"/>
        <v>SUBDIRECCION DE GESTION CONTRACTUAL</v>
      </c>
      <c r="V322" s="232" t="str">
        <f t="shared" si="95"/>
        <v>CO-DC</v>
      </c>
      <c r="W322" s="243" t="str">
        <f t="shared" si="96"/>
        <v>Distrito Capital de Bogotá</v>
      </c>
      <c r="X322" s="244" t="s">
        <v>383</v>
      </c>
      <c r="Y322" s="245">
        <v>2427400</v>
      </c>
      <c r="Z322" s="246" t="s">
        <v>384</v>
      </c>
    </row>
    <row r="323" spans="1:26" s="5" customFormat="1" ht="12.75" customHeight="1" x14ac:dyDescent="0.2">
      <c r="A323" s="231" t="s">
        <v>379</v>
      </c>
      <c r="B323" s="232">
        <v>38</v>
      </c>
      <c r="C323" s="233" t="s">
        <v>406</v>
      </c>
      <c r="D323" s="233" t="s">
        <v>381</v>
      </c>
      <c r="E323" s="234"/>
      <c r="F323" s="234">
        <v>181300000</v>
      </c>
      <c r="G323" s="234"/>
      <c r="H323" s="245" t="s">
        <v>413</v>
      </c>
      <c r="I323" s="254" t="s">
        <v>414</v>
      </c>
      <c r="J323" s="237">
        <v>9</v>
      </c>
      <c r="K323" s="237">
        <v>9</v>
      </c>
      <c r="L323" s="237">
        <v>3</v>
      </c>
      <c r="M323" s="232">
        <f t="shared" si="100"/>
        <v>1</v>
      </c>
      <c r="N323" s="238" t="s">
        <v>64</v>
      </c>
      <c r="O323" s="239" t="s">
        <v>65</v>
      </c>
      <c r="P323" s="240">
        <v>1</v>
      </c>
      <c r="Q323" s="241">
        <f t="shared" si="98"/>
        <v>181300000</v>
      </c>
      <c r="R323" s="241">
        <f t="shared" si="99"/>
        <v>181300000</v>
      </c>
      <c r="S323" s="242" t="s">
        <v>56</v>
      </c>
      <c r="T323" s="238">
        <v>0</v>
      </c>
      <c r="U323" s="243" t="str">
        <f t="shared" si="94"/>
        <v>SUBDIRECCION DE GESTION CONTRACTUAL</v>
      </c>
      <c r="V323" s="232" t="str">
        <f t="shared" si="95"/>
        <v>CO-DC</v>
      </c>
      <c r="W323" s="243" t="str">
        <f t="shared" si="96"/>
        <v>Distrito Capital de Bogotá</v>
      </c>
      <c r="X323" s="244" t="s">
        <v>395</v>
      </c>
      <c r="Y323" s="245">
        <v>3213062649</v>
      </c>
      <c r="Z323" s="246" t="s">
        <v>396</v>
      </c>
    </row>
    <row r="324" spans="1:26" s="5" customFormat="1" ht="12.75" customHeight="1" x14ac:dyDescent="0.2">
      <c r="A324" s="231" t="s">
        <v>379</v>
      </c>
      <c r="B324" s="232">
        <v>39</v>
      </c>
      <c r="C324" s="233" t="s">
        <v>415</v>
      </c>
      <c r="D324" s="233" t="s">
        <v>381</v>
      </c>
      <c r="E324" s="234"/>
      <c r="F324" s="234">
        <v>444400000</v>
      </c>
      <c r="G324" s="234"/>
      <c r="H324" s="235">
        <v>80111600</v>
      </c>
      <c r="I324" s="236" t="s">
        <v>382</v>
      </c>
      <c r="J324" s="237">
        <v>1</v>
      </c>
      <c r="K324" s="237">
        <v>1</v>
      </c>
      <c r="L324" s="237">
        <v>12</v>
      </c>
      <c r="M324" s="232">
        <f t="shared" si="100"/>
        <v>1</v>
      </c>
      <c r="N324" s="238" t="s">
        <v>54</v>
      </c>
      <c r="O324" s="239" t="s">
        <v>55</v>
      </c>
      <c r="P324" s="240">
        <f>IF(ISBLANK(N324),"",1)</f>
        <v>1</v>
      </c>
      <c r="Q324" s="241">
        <f t="shared" si="98"/>
        <v>444400000</v>
      </c>
      <c r="R324" s="241">
        <f t="shared" si="99"/>
        <v>444400000</v>
      </c>
      <c r="S324" s="242" t="s">
        <v>56</v>
      </c>
      <c r="T324" s="238">
        <f>IF(ISBLANK(S324),"",IF(VALUE(S324)=0,0,IF(VALUE(S324)=1,3,"")))</f>
        <v>0</v>
      </c>
      <c r="U324" s="243" t="str">
        <f t="shared" si="94"/>
        <v>SUBDIRECCION DE GESTION CONTRACTUAL</v>
      </c>
      <c r="V324" s="232" t="str">
        <f t="shared" si="95"/>
        <v>CO-DC</v>
      </c>
      <c r="W324" s="243" t="str">
        <f t="shared" si="96"/>
        <v>Distrito Capital de Bogotá</v>
      </c>
      <c r="X324" s="244" t="s">
        <v>383</v>
      </c>
      <c r="Y324" s="245">
        <v>2427400</v>
      </c>
      <c r="Z324" s="246" t="s">
        <v>384</v>
      </c>
    </row>
    <row r="325" spans="1:26" s="5" customFormat="1" ht="12.75" customHeight="1" x14ac:dyDescent="0.2">
      <c r="A325" s="231" t="s">
        <v>379</v>
      </c>
      <c r="B325" s="232">
        <v>40</v>
      </c>
      <c r="C325" s="233" t="s">
        <v>415</v>
      </c>
      <c r="D325" s="233" t="s">
        <v>381</v>
      </c>
      <c r="E325" s="234"/>
      <c r="F325" s="234">
        <v>48000000</v>
      </c>
      <c r="G325" s="234"/>
      <c r="H325" s="235" t="s">
        <v>59</v>
      </c>
      <c r="I325" s="236" t="s">
        <v>392</v>
      </c>
      <c r="J325" s="247">
        <v>3</v>
      </c>
      <c r="K325" s="248">
        <v>4</v>
      </c>
      <c r="L325" s="249">
        <v>9</v>
      </c>
      <c r="M325" s="232">
        <f t="shared" si="100"/>
        <v>1</v>
      </c>
      <c r="N325" s="238" t="s">
        <v>61</v>
      </c>
      <c r="O325" s="239" t="s">
        <v>62</v>
      </c>
      <c r="P325" s="240">
        <v>1</v>
      </c>
      <c r="Q325" s="241">
        <f t="shared" si="98"/>
        <v>48000000</v>
      </c>
      <c r="R325" s="241">
        <f t="shared" si="99"/>
        <v>48000000</v>
      </c>
      <c r="S325" s="242" t="s">
        <v>56</v>
      </c>
      <c r="T325" s="238">
        <v>0</v>
      </c>
      <c r="U325" s="243" t="str">
        <f t="shared" si="94"/>
        <v>SUBDIRECCION DE GESTION CONTRACTUAL</v>
      </c>
      <c r="V325" s="232" t="str">
        <f t="shared" si="95"/>
        <v>CO-DC</v>
      </c>
      <c r="W325" s="243" t="str">
        <f t="shared" si="96"/>
        <v>Distrito Capital de Bogotá</v>
      </c>
      <c r="X325" s="244" t="s">
        <v>383</v>
      </c>
      <c r="Y325" s="245">
        <v>2427400</v>
      </c>
      <c r="Z325" s="246" t="s">
        <v>384</v>
      </c>
    </row>
    <row r="326" spans="1:26" s="5" customFormat="1" ht="12.75" customHeight="1" x14ac:dyDescent="0.2">
      <c r="A326" s="231" t="s">
        <v>379</v>
      </c>
      <c r="B326" s="232">
        <v>41</v>
      </c>
      <c r="C326" s="233" t="s">
        <v>415</v>
      </c>
      <c r="D326" s="233" t="s">
        <v>381</v>
      </c>
      <c r="E326" s="234"/>
      <c r="F326" s="234">
        <f>1052189720-15000000</f>
        <v>1037189720</v>
      </c>
      <c r="G326" s="234"/>
      <c r="H326" s="235" t="s">
        <v>67</v>
      </c>
      <c r="I326" s="236" t="s">
        <v>385</v>
      </c>
      <c r="J326" s="247">
        <v>2</v>
      </c>
      <c r="K326" s="248">
        <v>3</v>
      </c>
      <c r="L326" s="249">
        <v>9</v>
      </c>
      <c r="M326" s="232">
        <f t="shared" si="100"/>
        <v>1</v>
      </c>
      <c r="N326" s="238" t="s">
        <v>69</v>
      </c>
      <c r="O326" s="239" t="s">
        <v>70</v>
      </c>
      <c r="P326" s="240">
        <v>1</v>
      </c>
      <c r="Q326" s="241">
        <f t="shared" si="98"/>
        <v>1037189720</v>
      </c>
      <c r="R326" s="241">
        <f t="shared" si="99"/>
        <v>1037189720</v>
      </c>
      <c r="S326" s="242" t="s">
        <v>56</v>
      </c>
      <c r="T326" s="238">
        <v>0</v>
      </c>
      <c r="U326" s="243" t="str">
        <f t="shared" si="94"/>
        <v>SUBDIRECCION DE GESTION CONTRACTUAL</v>
      </c>
      <c r="V326" s="232" t="str">
        <f t="shared" si="95"/>
        <v>CO-DC</v>
      </c>
      <c r="W326" s="243" t="str">
        <f t="shared" si="96"/>
        <v>Distrito Capital de Bogotá</v>
      </c>
      <c r="X326" s="244" t="s">
        <v>383</v>
      </c>
      <c r="Y326" s="245">
        <v>2427400</v>
      </c>
      <c r="Z326" s="246" t="s">
        <v>384</v>
      </c>
    </row>
    <row r="327" spans="1:26" s="5" customFormat="1" ht="12.75" customHeight="1" x14ac:dyDescent="0.2">
      <c r="A327" s="231" t="s">
        <v>379</v>
      </c>
      <c r="B327" s="232">
        <v>42</v>
      </c>
      <c r="C327" s="233" t="s">
        <v>415</v>
      </c>
      <c r="D327" s="233" t="s">
        <v>381</v>
      </c>
      <c r="E327" s="234"/>
      <c r="F327" s="234">
        <v>35000000</v>
      </c>
      <c r="G327" s="234"/>
      <c r="H327" s="235" t="s">
        <v>67</v>
      </c>
      <c r="I327" s="236" t="s">
        <v>385</v>
      </c>
      <c r="J327" s="237">
        <v>2</v>
      </c>
      <c r="K327" s="237">
        <v>3</v>
      </c>
      <c r="L327" s="237">
        <v>9</v>
      </c>
      <c r="M327" s="232">
        <f t="shared" si="100"/>
        <v>1</v>
      </c>
      <c r="N327" s="238" t="s">
        <v>69</v>
      </c>
      <c r="O327" s="239" t="s">
        <v>70</v>
      </c>
      <c r="P327" s="240">
        <v>1</v>
      </c>
      <c r="Q327" s="241">
        <f t="shared" si="98"/>
        <v>35000000</v>
      </c>
      <c r="R327" s="241">
        <f t="shared" si="99"/>
        <v>35000000</v>
      </c>
      <c r="S327" s="242" t="s">
        <v>56</v>
      </c>
      <c r="T327" s="238">
        <v>0</v>
      </c>
      <c r="U327" s="243" t="str">
        <f t="shared" si="94"/>
        <v>SUBDIRECCION DE GESTION CONTRACTUAL</v>
      </c>
      <c r="V327" s="232" t="str">
        <f t="shared" si="95"/>
        <v>CO-DC</v>
      </c>
      <c r="W327" s="243" t="str">
        <f t="shared" si="96"/>
        <v>Distrito Capital de Bogotá</v>
      </c>
      <c r="X327" s="244" t="s">
        <v>383</v>
      </c>
      <c r="Y327" s="245">
        <v>2427400</v>
      </c>
      <c r="Z327" s="246" t="s">
        <v>384</v>
      </c>
    </row>
    <row r="328" spans="1:26" s="5" customFormat="1" ht="12.75" customHeight="1" x14ac:dyDescent="0.2">
      <c r="A328" s="231" t="s">
        <v>379</v>
      </c>
      <c r="B328" s="232">
        <v>43</v>
      </c>
      <c r="C328" s="233" t="s">
        <v>415</v>
      </c>
      <c r="D328" s="233" t="s">
        <v>381</v>
      </c>
      <c r="E328" s="234"/>
      <c r="F328" s="234">
        <v>50000000</v>
      </c>
      <c r="G328" s="234"/>
      <c r="H328" s="235" t="s">
        <v>203</v>
      </c>
      <c r="I328" s="236" t="s">
        <v>401</v>
      </c>
      <c r="J328" s="247">
        <v>8</v>
      </c>
      <c r="K328" s="248">
        <v>8</v>
      </c>
      <c r="L328" s="249">
        <v>4</v>
      </c>
      <c r="M328" s="232">
        <v>1</v>
      </c>
      <c r="N328" s="238" t="s">
        <v>54</v>
      </c>
      <c r="O328" s="239" t="s">
        <v>55</v>
      </c>
      <c r="P328" s="240">
        <v>1</v>
      </c>
      <c r="Q328" s="241">
        <f t="shared" si="98"/>
        <v>50000000</v>
      </c>
      <c r="R328" s="241">
        <f t="shared" si="99"/>
        <v>50000000</v>
      </c>
      <c r="S328" s="242" t="s">
        <v>56</v>
      </c>
      <c r="T328" s="238">
        <v>0</v>
      </c>
      <c r="U328" s="243" t="str">
        <f t="shared" si="94"/>
        <v>SUBDIRECCION DE GESTION CONTRACTUAL</v>
      </c>
      <c r="V328" s="232" t="str">
        <f t="shared" si="95"/>
        <v>CO-DC</v>
      </c>
      <c r="W328" s="243" t="str">
        <f t="shared" si="96"/>
        <v>Distrito Capital de Bogotá</v>
      </c>
      <c r="X328" s="244" t="s">
        <v>121</v>
      </c>
      <c r="Y328" s="232">
        <v>2427400</v>
      </c>
      <c r="Z328" s="246" t="s">
        <v>122</v>
      </c>
    </row>
    <row r="329" spans="1:26" s="5" customFormat="1" ht="12.75" customHeight="1" x14ac:dyDescent="0.2">
      <c r="A329" s="231" t="s">
        <v>379</v>
      </c>
      <c r="B329" s="232">
        <v>44</v>
      </c>
      <c r="C329" s="233" t="s">
        <v>415</v>
      </c>
      <c r="D329" s="233" t="s">
        <v>381</v>
      </c>
      <c r="E329" s="234"/>
      <c r="F329" s="234">
        <v>1000000000</v>
      </c>
      <c r="G329" s="234"/>
      <c r="H329" s="235" t="s">
        <v>416</v>
      </c>
      <c r="I329" s="236" t="s">
        <v>417</v>
      </c>
      <c r="J329" s="237">
        <v>6</v>
      </c>
      <c r="K329" s="237">
        <v>6</v>
      </c>
      <c r="L329" s="237">
        <v>6</v>
      </c>
      <c r="M329" s="232">
        <f>IF(ISBLANK(J329),"",1)</f>
        <v>1</v>
      </c>
      <c r="N329" s="238" t="s">
        <v>64</v>
      </c>
      <c r="O329" s="239" t="s">
        <v>65</v>
      </c>
      <c r="P329" s="240">
        <v>1</v>
      </c>
      <c r="Q329" s="241">
        <f t="shared" si="98"/>
        <v>1000000000</v>
      </c>
      <c r="R329" s="241">
        <f t="shared" si="99"/>
        <v>1000000000</v>
      </c>
      <c r="S329" s="242" t="s">
        <v>56</v>
      </c>
      <c r="T329" s="238">
        <v>0</v>
      </c>
      <c r="U329" s="243" t="str">
        <f t="shared" si="94"/>
        <v>SUBDIRECCION DE GESTION CONTRACTUAL</v>
      </c>
      <c r="V329" s="232" t="str">
        <f t="shared" si="95"/>
        <v>CO-DC</v>
      </c>
      <c r="W329" s="243" t="str">
        <f t="shared" si="96"/>
        <v>Distrito Capital de Bogotá</v>
      </c>
      <c r="X329" s="244" t="s">
        <v>383</v>
      </c>
      <c r="Y329" s="245">
        <v>2427400</v>
      </c>
      <c r="Z329" s="246" t="s">
        <v>384</v>
      </c>
    </row>
    <row r="330" spans="1:26" s="5" customFormat="1" ht="12.75" customHeight="1" x14ac:dyDescent="0.2">
      <c r="A330" s="231" t="s">
        <v>379</v>
      </c>
      <c r="B330" s="232">
        <v>45</v>
      </c>
      <c r="C330" s="233" t="s">
        <v>418</v>
      </c>
      <c r="D330" s="233" t="s">
        <v>381</v>
      </c>
      <c r="E330" s="234"/>
      <c r="F330" s="234">
        <f>398200000+151400000</f>
        <v>549600000</v>
      </c>
      <c r="G330" s="234"/>
      <c r="H330" s="235">
        <v>80111600</v>
      </c>
      <c r="I330" s="236" t="s">
        <v>382</v>
      </c>
      <c r="J330" s="237">
        <v>1</v>
      </c>
      <c r="K330" s="237">
        <v>1</v>
      </c>
      <c r="L330" s="237">
        <v>12</v>
      </c>
      <c r="M330" s="232">
        <f>IF(ISBLANK(J330),"",1)</f>
        <v>1</v>
      </c>
      <c r="N330" s="238" t="s">
        <v>54</v>
      </c>
      <c r="O330" s="239" t="s">
        <v>55</v>
      </c>
      <c r="P330" s="240">
        <f>IF(ISBLANK(N330),"",1)</f>
        <v>1</v>
      </c>
      <c r="Q330" s="241">
        <f t="shared" si="98"/>
        <v>549600000</v>
      </c>
      <c r="R330" s="241">
        <f t="shared" si="99"/>
        <v>549600000</v>
      </c>
      <c r="S330" s="242" t="s">
        <v>56</v>
      </c>
      <c r="T330" s="238">
        <f>IF(ISBLANK(S330),"",IF(VALUE(S330)=0,0,IF(VALUE(S330)=1,3,"")))</f>
        <v>0</v>
      </c>
      <c r="U330" s="243" t="str">
        <f t="shared" si="94"/>
        <v>SUBDIRECCION DE GESTION CONTRACTUAL</v>
      </c>
      <c r="V330" s="232" t="str">
        <f t="shared" si="95"/>
        <v>CO-DC</v>
      </c>
      <c r="W330" s="243" t="str">
        <f t="shared" si="96"/>
        <v>Distrito Capital de Bogotá</v>
      </c>
      <c r="X330" s="244" t="s">
        <v>383</v>
      </c>
      <c r="Y330" s="245">
        <v>2427400</v>
      </c>
      <c r="Z330" s="246" t="s">
        <v>384</v>
      </c>
    </row>
    <row r="331" spans="1:26" s="5" customFormat="1" ht="12.75" customHeight="1" x14ac:dyDescent="0.2">
      <c r="A331" s="231" t="s">
        <v>379</v>
      </c>
      <c r="B331" s="232">
        <v>46</v>
      </c>
      <c r="C331" s="233" t="s">
        <v>418</v>
      </c>
      <c r="D331" s="233" t="s">
        <v>381</v>
      </c>
      <c r="E331" s="234"/>
      <c r="F331" s="234">
        <v>65000000</v>
      </c>
      <c r="G331" s="234"/>
      <c r="H331" s="235" t="s">
        <v>59</v>
      </c>
      <c r="I331" s="236" t="s">
        <v>392</v>
      </c>
      <c r="J331" s="247">
        <v>3</v>
      </c>
      <c r="K331" s="248">
        <v>4</v>
      </c>
      <c r="L331" s="249">
        <v>9</v>
      </c>
      <c r="M331" s="232">
        <f>IF(ISBLANK(J331),"",1)</f>
        <v>1</v>
      </c>
      <c r="N331" s="238" t="s">
        <v>61</v>
      </c>
      <c r="O331" s="239" t="s">
        <v>62</v>
      </c>
      <c r="P331" s="240">
        <v>1</v>
      </c>
      <c r="Q331" s="241">
        <f t="shared" si="98"/>
        <v>65000000</v>
      </c>
      <c r="R331" s="241">
        <f t="shared" si="99"/>
        <v>65000000</v>
      </c>
      <c r="S331" s="242" t="s">
        <v>56</v>
      </c>
      <c r="T331" s="238">
        <v>0</v>
      </c>
      <c r="U331" s="243" t="str">
        <f t="shared" si="94"/>
        <v>SUBDIRECCION DE GESTION CONTRACTUAL</v>
      </c>
      <c r="V331" s="232" t="str">
        <f t="shared" si="95"/>
        <v>CO-DC</v>
      </c>
      <c r="W331" s="243" t="str">
        <f t="shared" si="96"/>
        <v>Distrito Capital de Bogotá</v>
      </c>
      <c r="X331" s="244" t="s">
        <v>383</v>
      </c>
      <c r="Y331" s="245">
        <v>2427400</v>
      </c>
      <c r="Z331" s="246" t="s">
        <v>384</v>
      </c>
    </row>
    <row r="332" spans="1:26" s="5" customFormat="1" ht="12.75" customHeight="1" x14ac:dyDescent="0.2">
      <c r="A332" s="231" t="s">
        <v>379</v>
      </c>
      <c r="B332" s="232">
        <v>47</v>
      </c>
      <c r="C332" s="233" t="s">
        <v>418</v>
      </c>
      <c r="D332" s="233" t="s">
        <v>381</v>
      </c>
      <c r="E332" s="234"/>
      <c r="F332" s="234">
        <v>546887000</v>
      </c>
      <c r="G332" s="234"/>
      <c r="H332" s="235" t="s">
        <v>67</v>
      </c>
      <c r="I332" s="236" t="s">
        <v>385</v>
      </c>
      <c r="J332" s="247">
        <v>2</v>
      </c>
      <c r="K332" s="248">
        <v>3</v>
      </c>
      <c r="L332" s="249">
        <v>9</v>
      </c>
      <c r="M332" s="232">
        <f>IF(ISBLANK(J332),"",1)</f>
        <v>1</v>
      </c>
      <c r="N332" s="238" t="s">
        <v>69</v>
      </c>
      <c r="O332" s="239" t="s">
        <v>70</v>
      </c>
      <c r="P332" s="240">
        <v>1</v>
      </c>
      <c r="Q332" s="241">
        <f t="shared" si="98"/>
        <v>546887000</v>
      </c>
      <c r="R332" s="241">
        <f t="shared" si="99"/>
        <v>546887000</v>
      </c>
      <c r="S332" s="242" t="s">
        <v>56</v>
      </c>
      <c r="T332" s="238">
        <v>0</v>
      </c>
      <c r="U332" s="243" t="str">
        <f t="shared" si="94"/>
        <v>SUBDIRECCION DE GESTION CONTRACTUAL</v>
      </c>
      <c r="V332" s="232" t="str">
        <f t="shared" si="95"/>
        <v>CO-DC</v>
      </c>
      <c r="W332" s="243" t="str">
        <f t="shared" si="96"/>
        <v>Distrito Capital de Bogotá</v>
      </c>
      <c r="X332" s="244" t="s">
        <v>383</v>
      </c>
      <c r="Y332" s="245">
        <v>2427400</v>
      </c>
      <c r="Z332" s="246" t="s">
        <v>384</v>
      </c>
    </row>
    <row r="333" spans="1:26" s="5" customFormat="1" ht="12.75" customHeight="1" x14ac:dyDescent="0.2">
      <c r="A333" s="231" t="s">
        <v>379</v>
      </c>
      <c r="B333" s="232">
        <v>48</v>
      </c>
      <c r="C333" s="233" t="s">
        <v>418</v>
      </c>
      <c r="D333" s="233" t="s">
        <v>381</v>
      </c>
      <c r="E333" s="234"/>
      <c r="F333" s="234">
        <v>30000000</v>
      </c>
      <c r="G333" s="234"/>
      <c r="H333" s="235" t="s">
        <v>67</v>
      </c>
      <c r="I333" s="236" t="s">
        <v>385</v>
      </c>
      <c r="J333" s="237">
        <v>2</v>
      </c>
      <c r="K333" s="237">
        <v>3</v>
      </c>
      <c r="L333" s="237">
        <v>9</v>
      </c>
      <c r="M333" s="232">
        <f>IF(ISBLANK(J333),"",1)</f>
        <v>1</v>
      </c>
      <c r="N333" s="238" t="s">
        <v>69</v>
      </c>
      <c r="O333" s="239" t="s">
        <v>70</v>
      </c>
      <c r="P333" s="240">
        <v>1</v>
      </c>
      <c r="Q333" s="241">
        <f t="shared" si="98"/>
        <v>30000000</v>
      </c>
      <c r="R333" s="241">
        <f t="shared" si="99"/>
        <v>30000000</v>
      </c>
      <c r="S333" s="242" t="s">
        <v>56</v>
      </c>
      <c r="T333" s="238">
        <v>0</v>
      </c>
      <c r="U333" s="243" t="str">
        <f t="shared" si="94"/>
        <v>SUBDIRECCION DE GESTION CONTRACTUAL</v>
      </c>
      <c r="V333" s="232" t="str">
        <f t="shared" si="95"/>
        <v>CO-DC</v>
      </c>
      <c r="W333" s="243" t="str">
        <f t="shared" si="96"/>
        <v>Distrito Capital de Bogotá</v>
      </c>
      <c r="X333" s="244" t="s">
        <v>383</v>
      </c>
      <c r="Y333" s="245">
        <v>2427400</v>
      </c>
      <c r="Z333" s="246" t="s">
        <v>384</v>
      </c>
    </row>
    <row r="334" spans="1:26" s="5" customFormat="1" ht="12.75" customHeight="1" x14ac:dyDescent="0.2">
      <c r="A334" s="231" t="s">
        <v>379</v>
      </c>
      <c r="B334" s="232">
        <v>49</v>
      </c>
      <c r="C334" s="233" t="s">
        <v>418</v>
      </c>
      <c r="D334" s="233" t="s">
        <v>381</v>
      </c>
      <c r="E334" s="234"/>
      <c r="F334" s="234">
        <v>100000000</v>
      </c>
      <c r="G334" s="234"/>
      <c r="H334" s="235" t="s">
        <v>203</v>
      </c>
      <c r="I334" s="236" t="s">
        <v>401</v>
      </c>
      <c r="J334" s="247">
        <v>8</v>
      </c>
      <c r="K334" s="248">
        <v>8</v>
      </c>
      <c r="L334" s="249">
        <v>4</v>
      </c>
      <c r="M334" s="232">
        <v>1</v>
      </c>
      <c r="N334" s="238" t="s">
        <v>54</v>
      </c>
      <c r="O334" s="239" t="s">
        <v>55</v>
      </c>
      <c r="P334" s="240">
        <v>1</v>
      </c>
      <c r="Q334" s="241">
        <f t="shared" si="98"/>
        <v>100000000</v>
      </c>
      <c r="R334" s="241">
        <f t="shared" si="99"/>
        <v>100000000</v>
      </c>
      <c r="S334" s="242" t="s">
        <v>56</v>
      </c>
      <c r="T334" s="238">
        <v>0</v>
      </c>
      <c r="U334" s="243" t="str">
        <f t="shared" si="94"/>
        <v>SUBDIRECCION DE GESTION CONTRACTUAL</v>
      </c>
      <c r="V334" s="232" t="str">
        <f t="shared" si="95"/>
        <v>CO-DC</v>
      </c>
      <c r="W334" s="243" t="str">
        <f t="shared" si="96"/>
        <v>Distrito Capital de Bogotá</v>
      </c>
      <c r="X334" s="244" t="s">
        <v>121</v>
      </c>
      <c r="Y334" s="232">
        <v>2427400</v>
      </c>
      <c r="Z334" s="246" t="s">
        <v>122</v>
      </c>
    </row>
    <row r="335" spans="1:26" s="5" customFormat="1" ht="12.75" customHeight="1" x14ac:dyDescent="0.2">
      <c r="A335" s="231" t="s">
        <v>379</v>
      </c>
      <c r="B335" s="232">
        <v>50</v>
      </c>
      <c r="C335" s="233" t="s">
        <v>418</v>
      </c>
      <c r="D335" s="233" t="s">
        <v>381</v>
      </c>
      <c r="E335" s="234"/>
      <c r="F335" s="234">
        <f>151400000-151400000</f>
        <v>0</v>
      </c>
      <c r="G335" s="234"/>
      <c r="H335" s="251" t="s">
        <v>402</v>
      </c>
      <c r="I335" s="236" t="s">
        <v>403</v>
      </c>
      <c r="J335" s="237">
        <v>6</v>
      </c>
      <c r="K335" s="237">
        <v>6</v>
      </c>
      <c r="L335" s="237">
        <v>6</v>
      </c>
      <c r="M335" s="232">
        <f>IF(ISBLANK(J335),"",1)</f>
        <v>1</v>
      </c>
      <c r="N335" s="238" t="s">
        <v>64</v>
      </c>
      <c r="O335" s="239" t="s">
        <v>65</v>
      </c>
      <c r="P335" s="240">
        <v>1</v>
      </c>
      <c r="Q335" s="241">
        <f t="shared" si="98"/>
        <v>0</v>
      </c>
      <c r="R335" s="241">
        <f t="shared" si="99"/>
        <v>0</v>
      </c>
      <c r="S335" s="242" t="s">
        <v>56</v>
      </c>
      <c r="T335" s="238">
        <v>0</v>
      </c>
      <c r="U335" s="243" t="str">
        <f t="shared" si="94"/>
        <v>SUBDIRECCION DE GESTION CONTRACTUAL</v>
      </c>
      <c r="V335" s="232" t="str">
        <f t="shared" si="95"/>
        <v>CO-DC</v>
      </c>
      <c r="W335" s="243" t="str">
        <f t="shared" si="96"/>
        <v>Distrito Capital de Bogotá</v>
      </c>
      <c r="X335" s="244" t="s">
        <v>383</v>
      </c>
      <c r="Y335" s="245">
        <v>2427400</v>
      </c>
      <c r="Z335" s="246" t="s">
        <v>384</v>
      </c>
    </row>
    <row r="336" spans="1:26" s="5" customFormat="1" ht="12.75" customHeight="1" x14ac:dyDescent="0.2">
      <c r="A336" s="231" t="s">
        <v>379</v>
      </c>
      <c r="B336" s="232">
        <v>51</v>
      </c>
      <c r="C336" s="233" t="s">
        <v>419</v>
      </c>
      <c r="D336" s="233" t="s">
        <v>381</v>
      </c>
      <c r="E336" s="234"/>
      <c r="F336" s="234">
        <v>406000000</v>
      </c>
      <c r="G336" s="234"/>
      <c r="H336" s="235">
        <v>80111600</v>
      </c>
      <c r="I336" s="236" t="s">
        <v>382</v>
      </c>
      <c r="J336" s="237">
        <v>1</v>
      </c>
      <c r="K336" s="237">
        <v>1</v>
      </c>
      <c r="L336" s="237">
        <v>12</v>
      </c>
      <c r="M336" s="232">
        <f>IF(ISBLANK(J336),"",1)</f>
        <v>1</v>
      </c>
      <c r="N336" s="238" t="s">
        <v>54</v>
      </c>
      <c r="O336" s="239" t="s">
        <v>55</v>
      </c>
      <c r="P336" s="240">
        <f>IF(ISBLANK(N336),"",1)</f>
        <v>1</v>
      </c>
      <c r="Q336" s="241">
        <f t="shared" si="98"/>
        <v>406000000</v>
      </c>
      <c r="R336" s="241">
        <f t="shared" si="99"/>
        <v>406000000</v>
      </c>
      <c r="S336" s="242" t="s">
        <v>56</v>
      </c>
      <c r="T336" s="238">
        <f>IF(ISBLANK(S336),"",IF(VALUE(S336)=0,0,IF(VALUE(S336)=1,3,"")))</f>
        <v>0</v>
      </c>
      <c r="U336" s="243" t="str">
        <f t="shared" si="94"/>
        <v>SUBDIRECCION DE GESTION CONTRACTUAL</v>
      </c>
      <c r="V336" s="232" t="str">
        <f t="shared" si="95"/>
        <v>CO-DC</v>
      </c>
      <c r="W336" s="243" t="str">
        <f t="shared" si="96"/>
        <v>Distrito Capital de Bogotá</v>
      </c>
      <c r="X336" s="244" t="s">
        <v>383</v>
      </c>
      <c r="Y336" s="245">
        <v>2427400</v>
      </c>
      <c r="Z336" s="246" t="s">
        <v>384</v>
      </c>
    </row>
    <row r="337" spans="1:26" s="5" customFormat="1" ht="12.75" customHeight="1" x14ac:dyDescent="0.2">
      <c r="A337" s="231" t="s">
        <v>379</v>
      </c>
      <c r="B337" s="232">
        <v>52</v>
      </c>
      <c r="C337" s="233" t="s">
        <v>419</v>
      </c>
      <c r="D337" s="233" t="s">
        <v>381</v>
      </c>
      <c r="E337" s="234"/>
      <c r="F337" s="234">
        <v>73920000</v>
      </c>
      <c r="G337" s="234"/>
      <c r="H337" s="235" t="s">
        <v>59</v>
      </c>
      <c r="I337" s="236" t="s">
        <v>392</v>
      </c>
      <c r="J337" s="247">
        <v>3</v>
      </c>
      <c r="K337" s="248">
        <v>4</v>
      </c>
      <c r="L337" s="249">
        <v>9</v>
      </c>
      <c r="M337" s="232">
        <f>IF(ISBLANK(J337),"",1)</f>
        <v>1</v>
      </c>
      <c r="N337" s="238" t="s">
        <v>61</v>
      </c>
      <c r="O337" s="239" t="s">
        <v>62</v>
      </c>
      <c r="P337" s="240">
        <v>1</v>
      </c>
      <c r="Q337" s="241">
        <f t="shared" si="98"/>
        <v>73920000</v>
      </c>
      <c r="R337" s="241">
        <f t="shared" si="99"/>
        <v>73920000</v>
      </c>
      <c r="S337" s="242" t="s">
        <v>56</v>
      </c>
      <c r="T337" s="238">
        <v>0</v>
      </c>
      <c r="U337" s="243" t="str">
        <f t="shared" si="94"/>
        <v>SUBDIRECCION DE GESTION CONTRACTUAL</v>
      </c>
      <c r="V337" s="232" t="str">
        <f t="shared" si="95"/>
        <v>CO-DC</v>
      </c>
      <c r="W337" s="243" t="str">
        <f t="shared" si="96"/>
        <v>Distrito Capital de Bogotá</v>
      </c>
      <c r="X337" s="244" t="s">
        <v>383</v>
      </c>
      <c r="Y337" s="245">
        <v>2427400</v>
      </c>
      <c r="Z337" s="246" t="s">
        <v>384</v>
      </c>
    </row>
    <row r="338" spans="1:26" s="5" customFormat="1" ht="12.75" customHeight="1" x14ac:dyDescent="0.2">
      <c r="A338" s="231" t="s">
        <v>379</v>
      </c>
      <c r="B338" s="232">
        <v>53</v>
      </c>
      <c r="C338" s="233" t="s">
        <v>419</v>
      </c>
      <c r="D338" s="233" t="s">
        <v>381</v>
      </c>
      <c r="E338" s="234"/>
      <c r="F338" s="234">
        <v>469069720</v>
      </c>
      <c r="G338" s="234"/>
      <c r="H338" s="235" t="s">
        <v>67</v>
      </c>
      <c r="I338" s="236" t="s">
        <v>385</v>
      </c>
      <c r="J338" s="247">
        <v>2</v>
      </c>
      <c r="K338" s="248">
        <v>3</v>
      </c>
      <c r="L338" s="249">
        <v>9</v>
      </c>
      <c r="M338" s="232">
        <f>IF(ISBLANK(J338),"",1)</f>
        <v>1</v>
      </c>
      <c r="N338" s="238" t="s">
        <v>69</v>
      </c>
      <c r="O338" s="239" t="s">
        <v>70</v>
      </c>
      <c r="P338" s="240">
        <v>1</v>
      </c>
      <c r="Q338" s="241">
        <f t="shared" si="98"/>
        <v>469069720</v>
      </c>
      <c r="R338" s="241">
        <f t="shared" si="99"/>
        <v>469069720</v>
      </c>
      <c r="S338" s="242" t="s">
        <v>56</v>
      </c>
      <c r="T338" s="238">
        <v>0</v>
      </c>
      <c r="U338" s="243" t="str">
        <f t="shared" si="94"/>
        <v>SUBDIRECCION DE GESTION CONTRACTUAL</v>
      </c>
      <c r="V338" s="232" t="str">
        <f t="shared" si="95"/>
        <v>CO-DC</v>
      </c>
      <c r="W338" s="243" t="str">
        <f t="shared" si="96"/>
        <v>Distrito Capital de Bogotá</v>
      </c>
      <c r="X338" s="244" t="s">
        <v>383</v>
      </c>
      <c r="Y338" s="245">
        <v>2427400</v>
      </c>
      <c r="Z338" s="246" t="s">
        <v>384</v>
      </c>
    </row>
    <row r="339" spans="1:26" s="5" customFormat="1" ht="12.75" customHeight="1" x14ac:dyDescent="0.2">
      <c r="A339" s="231" t="s">
        <v>379</v>
      </c>
      <c r="B339" s="232">
        <v>54</v>
      </c>
      <c r="C339" s="233" t="s">
        <v>419</v>
      </c>
      <c r="D339" s="233" t="s">
        <v>381</v>
      </c>
      <c r="E339" s="234"/>
      <c r="F339" s="234">
        <v>40000000</v>
      </c>
      <c r="G339" s="234"/>
      <c r="H339" s="235" t="s">
        <v>67</v>
      </c>
      <c r="I339" s="236" t="s">
        <v>385</v>
      </c>
      <c r="J339" s="237">
        <v>2</v>
      </c>
      <c r="K339" s="237">
        <v>3</v>
      </c>
      <c r="L339" s="237">
        <v>9</v>
      </c>
      <c r="M339" s="232">
        <f>IF(ISBLANK(J339),"",1)</f>
        <v>1</v>
      </c>
      <c r="N339" s="238" t="s">
        <v>69</v>
      </c>
      <c r="O339" s="239" t="s">
        <v>70</v>
      </c>
      <c r="P339" s="240">
        <v>1</v>
      </c>
      <c r="Q339" s="241">
        <f t="shared" si="98"/>
        <v>40000000</v>
      </c>
      <c r="R339" s="241">
        <f t="shared" si="99"/>
        <v>40000000</v>
      </c>
      <c r="S339" s="242" t="s">
        <v>56</v>
      </c>
      <c r="T339" s="238">
        <v>0</v>
      </c>
      <c r="U339" s="243" t="str">
        <f t="shared" si="94"/>
        <v>SUBDIRECCION DE GESTION CONTRACTUAL</v>
      </c>
      <c r="V339" s="232" t="str">
        <f t="shared" si="95"/>
        <v>CO-DC</v>
      </c>
      <c r="W339" s="243" t="str">
        <f t="shared" si="96"/>
        <v>Distrito Capital de Bogotá</v>
      </c>
      <c r="X339" s="244" t="s">
        <v>383</v>
      </c>
      <c r="Y339" s="245">
        <v>2427400</v>
      </c>
      <c r="Z339" s="246" t="s">
        <v>384</v>
      </c>
    </row>
    <row r="340" spans="1:26" s="5" customFormat="1" ht="12.75" customHeight="1" thickBot="1" x14ac:dyDescent="0.25">
      <c r="A340" s="231" t="s">
        <v>379</v>
      </c>
      <c r="B340" s="232">
        <v>55</v>
      </c>
      <c r="C340" s="233" t="s">
        <v>419</v>
      </c>
      <c r="D340" s="233" t="s">
        <v>381</v>
      </c>
      <c r="E340" s="234"/>
      <c r="F340" s="234">
        <v>50000000</v>
      </c>
      <c r="G340" s="234"/>
      <c r="H340" s="235" t="s">
        <v>203</v>
      </c>
      <c r="I340" s="236" t="s">
        <v>401</v>
      </c>
      <c r="J340" s="247">
        <v>8</v>
      </c>
      <c r="K340" s="248">
        <v>8</v>
      </c>
      <c r="L340" s="249">
        <v>4</v>
      </c>
      <c r="M340" s="232">
        <v>1</v>
      </c>
      <c r="N340" s="238" t="s">
        <v>54</v>
      </c>
      <c r="O340" s="239" t="s">
        <v>55</v>
      </c>
      <c r="P340" s="240">
        <v>1</v>
      </c>
      <c r="Q340" s="241">
        <f t="shared" si="98"/>
        <v>50000000</v>
      </c>
      <c r="R340" s="241">
        <f t="shared" si="99"/>
        <v>50000000</v>
      </c>
      <c r="S340" s="242" t="s">
        <v>56</v>
      </c>
      <c r="T340" s="238">
        <v>0</v>
      </c>
      <c r="U340" s="243" t="str">
        <f t="shared" si="94"/>
        <v>SUBDIRECCION DE GESTION CONTRACTUAL</v>
      </c>
      <c r="V340" s="232" t="str">
        <f t="shared" si="95"/>
        <v>CO-DC</v>
      </c>
      <c r="W340" s="243" t="str">
        <f t="shared" si="96"/>
        <v>Distrito Capital de Bogotá</v>
      </c>
      <c r="X340" s="244" t="s">
        <v>121</v>
      </c>
      <c r="Y340" s="232">
        <v>2427400</v>
      </c>
      <c r="Z340" s="246" t="s">
        <v>122</v>
      </c>
    </row>
    <row r="341" spans="1:26" s="5" customFormat="1" ht="12.75" customHeight="1" x14ac:dyDescent="0.2">
      <c r="A341" s="231" t="s">
        <v>379</v>
      </c>
      <c r="B341" s="232">
        <v>56</v>
      </c>
      <c r="C341" s="233" t="s">
        <v>419</v>
      </c>
      <c r="D341" s="233" t="s">
        <v>381</v>
      </c>
      <c r="E341" s="234"/>
      <c r="F341" s="234">
        <v>78000000</v>
      </c>
      <c r="G341" s="234"/>
      <c r="H341" s="245" t="s">
        <v>420</v>
      </c>
      <c r="I341" s="254" t="s">
        <v>414</v>
      </c>
      <c r="J341" s="255">
        <v>8</v>
      </c>
      <c r="K341" s="255">
        <v>8</v>
      </c>
      <c r="L341" s="255">
        <v>3</v>
      </c>
      <c r="M341" s="232">
        <f>IF(ISBLANK(J341),"",1)</f>
        <v>1</v>
      </c>
      <c r="N341" s="238" t="s">
        <v>64</v>
      </c>
      <c r="O341" s="239" t="s">
        <v>65</v>
      </c>
      <c r="P341" s="240">
        <v>1</v>
      </c>
      <c r="Q341" s="241">
        <f t="shared" si="98"/>
        <v>78000000</v>
      </c>
      <c r="R341" s="241">
        <f t="shared" si="99"/>
        <v>78000000</v>
      </c>
      <c r="S341" s="242" t="s">
        <v>56</v>
      </c>
      <c r="T341" s="238">
        <v>0</v>
      </c>
      <c r="U341" s="243" t="str">
        <f t="shared" si="94"/>
        <v>SUBDIRECCION DE GESTION CONTRACTUAL</v>
      </c>
      <c r="V341" s="232" t="str">
        <f t="shared" si="95"/>
        <v>CO-DC</v>
      </c>
      <c r="W341" s="243" t="str">
        <f t="shared" si="96"/>
        <v>Distrito Capital de Bogotá</v>
      </c>
      <c r="X341" s="244" t="s">
        <v>395</v>
      </c>
      <c r="Y341" s="245">
        <v>3213062649</v>
      </c>
      <c r="Z341" s="246" t="s">
        <v>396</v>
      </c>
    </row>
    <row r="342" spans="1:26" s="5" customFormat="1" ht="12.75" customHeight="1" x14ac:dyDescent="0.2">
      <c r="A342" s="231" t="s">
        <v>379</v>
      </c>
      <c r="B342" s="232">
        <v>57</v>
      </c>
      <c r="C342" s="233" t="s">
        <v>421</v>
      </c>
      <c r="D342" s="233" t="s">
        <v>381</v>
      </c>
      <c r="E342" s="234"/>
      <c r="F342" s="234">
        <f>1377115426+27500000-12316723</f>
        <v>1392298703</v>
      </c>
      <c r="G342" s="234"/>
      <c r="H342" s="235">
        <v>80111600</v>
      </c>
      <c r="I342" s="236" t="s">
        <v>382</v>
      </c>
      <c r="J342" s="237">
        <v>1</v>
      </c>
      <c r="K342" s="237">
        <v>1</v>
      </c>
      <c r="L342" s="237">
        <v>12</v>
      </c>
      <c r="M342" s="232">
        <f>IF(ISBLANK(J342),"",1)</f>
        <v>1</v>
      </c>
      <c r="N342" s="238" t="s">
        <v>54</v>
      </c>
      <c r="O342" s="239" t="s">
        <v>55</v>
      </c>
      <c r="P342" s="240">
        <f>IF(ISBLANK(N342),"",1)</f>
        <v>1</v>
      </c>
      <c r="Q342" s="241">
        <f t="shared" si="98"/>
        <v>1392298703</v>
      </c>
      <c r="R342" s="241">
        <f t="shared" si="99"/>
        <v>1392298703</v>
      </c>
      <c r="S342" s="242" t="s">
        <v>56</v>
      </c>
      <c r="T342" s="238">
        <f>IF(ISBLANK(S342),"",IF(VALUE(S342)=0,0,IF(VALUE(S342)=1,3,"")))</f>
        <v>0</v>
      </c>
      <c r="U342" s="243" t="str">
        <f t="shared" si="94"/>
        <v>SUBDIRECCION DE GESTION CONTRACTUAL</v>
      </c>
      <c r="V342" s="232" t="str">
        <f t="shared" si="95"/>
        <v>CO-DC</v>
      </c>
      <c r="W342" s="243" t="str">
        <f t="shared" si="96"/>
        <v>Distrito Capital de Bogotá</v>
      </c>
      <c r="X342" s="244" t="s">
        <v>383</v>
      </c>
      <c r="Y342" s="245">
        <v>2427400</v>
      </c>
      <c r="Z342" s="246" t="s">
        <v>384</v>
      </c>
    </row>
    <row r="343" spans="1:26" s="5" customFormat="1" ht="12.75" customHeight="1" x14ac:dyDescent="0.2">
      <c r="A343" s="231" t="s">
        <v>379</v>
      </c>
      <c r="B343" s="232">
        <v>58</v>
      </c>
      <c r="C343" s="233" t="s">
        <v>421</v>
      </c>
      <c r="D343" s="233" t="s">
        <v>381</v>
      </c>
      <c r="E343" s="234"/>
      <c r="F343" s="234">
        <f>300495391+36279840</f>
        <v>336775231</v>
      </c>
      <c r="G343" s="234"/>
      <c r="H343" s="235" t="s">
        <v>59</v>
      </c>
      <c r="I343" s="236" t="s">
        <v>392</v>
      </c>
      <c r="J343" s="247">
        <v>3</v>
      </c>
      <c r="K343" s="248">
        <v>4</v>
      </c>
      <c r="L343" s="249">
        <v>9</v>
      </c>
      <c r="M343" s="232">
        <f>IF(ISBLANK(J343),"",1)</f>
        <v>1</v>
      </c>
      <c r="N343" s="238" t="s">
        <v>61</v>
      </c>
      <c r="O343" s="239" t="s">
        <v>62</v>
      </c>
      <c r="P343" s="240">
        <v>1</v>
      </c>
      <c r="Q343" s="241">
        <f t="shared" si="98"/>
        <v>336775231</v>
      </c>
      <c r="R343" s="241">
        <f t="shared" si="99"/>
        <v>336775231</v>
      </c>
      <c r="S343" s="242" t="s">
        <v>56</v>
      </c>
      <c r="T343" s="238">
        <v>0</v>
      </c>
      <c r="U343" s="243" t="str">
        <f t="shared" si="94"/>
        <v>SUBDIRECCION DE GESTION CONTRACTUAL</v>
      </c>
      <c r="V343" s="232" t="str">
        <f t="shared" si="95"/>
        <v>CO-DC</v>
      </c>
      <c r="W343" s="243" t="str">
        <f t="shared" si="96"/>
        <v>Distrito Capital de Bogotá</v>
      </c>
      <c r="X343" s="244" t="s">
        <v>383</v>
      </c>
      <c r="Y343" s="245">
        <v>2427400</v>
      </c>
      <c r="Z343" s="246" t="s">
        <v>384</v>
      </c>
    </row>
    <row r="344" spans="1:26" s="5" customFormat="1" ht="12.75" customHeight="1" x14ac:dyDescent="0.2">
      <c r="A344" s="231" t="s">
        <v>379</v>
      </c>
      <c r="B344" s="232">
        <v>59</v>
      </c>
      <c r="C344" s="233" t="s">
        <v>421</v>
      </c>
      <c r="D344" s="233" t="s">
        <v>381</v>
      </c>
      <c r="E344" s="234"/>
      <c r="F344" s="234">
        <v>3594000000</v>
      </c>
      <c r="G344" s="234"/>
      <c r="H344" s="235" t="s">
        <v>67</v>
      </c>
      <c r="I344" s="236" t="s">
        <v>385</v>
      </c>
      <c r="J344" s="247">
        <v>2</v>
      </c>
      <c r="K344" s="248">
        <v>3</v>
      </c>
      <c r="L344" s="249">
        <v>9</v>
      </c>
      <c r="M344" s="232">
        <f>IF(ISBLANK(J344),"",1)</f>
        <v>1</v>
      </c>
      <c r="N344" s="238" t="s">
        <v>69</v>
      </c>
      <c r="O344" s="239" t="s">
        <v>70</v>
      </c>
      <c r="P344" s="240">
        <v>1</v>
      </c>
      <c r="Q344" s="241">
        <f t="shared" si="98"/>
        <v>3594000000</v>
      </c>
      <c r="R344" s="241">
        <f t="shared" si="99"/>
        <v>3594000000</v>
      </c>
      <c r="S344" s="242" t="s">
        <v>56</v>
      </c>
      <c r="T344" s="238">
        <v>0</v>
      </c>
      <c r="U344" s="243" t="str">
        <f t="shared" si="94"/>
        <v>SUBDIRECCION DE GESTION CONTRACTUAL</v>
      </c>
      <c r="V344" s="232" t="str">
        <f t="shared" si="95"/>
        <v>CO-DC</v>
      </c>
      <c r="W344" s="243" t="str">
        <f t="shared" si="96"/>
        <v>Distrito Capital de Bogotá</v>
      </c>
      <c r="X344" s="244" t="s">
        <v>383</v>
      </c>
      <c r="Y344" s="245">
        <v>2427400</v>
      </c>
      <c r="Z344" s="246" t="s">
        <v>384</v>
      </c>
    </row>
    <row r="345" spans="1:26" s="5" customFormat="1" ht="12.75" customHeight="1" x14ac:dyDescent="0.2">
      <c r="A345" s="231" t="s">
        <v>379</v>
      </c>
      <c r="B345" s="232">
        <v>60</v>
      </c>
      <c r="C345" s="233" t="s">
        <v>421</v>
      </c>
      <c r="D345" s="233" t="s">
        <v>381</v>
      </c>
      <c r="E345" s="234"/>
      <c r="F345" s="234">
        <f>50000000-23558467</f>
        <v>26441533</v>
      </c>
      <c r="G345" s="234"/>
      <c r="H345" s="235" t="s">
        <v>67</v>
      </c>
      <c r="I345" s="236" t="s">
        <v>385</v>
      </c>
      <c r="J345" s="237">
        <v>2</v>
      </c>
      <c r="K345" s="237">
        <v>3</v>
      </c>
      <c r="L345" s="237">
        <v>9</v>
      </c>
      <c r="M345" s="232">
        <f>IF(ISBLANK(J345),"",1)</f>
        <v>1</v>
      </c>
      <c r="N345" s="238" t="s">
        <v>69</v>
      </c>
      <c r="O345" s="239" t="s">
        <v>70</v>
      </c>
      <c r="P345" s="240">
        <v>1</v>
      </c>
      <c r="Q345" s="241">
        <f t="shared" si="98"/>
        <v>26441533</v>
      </c>
      <c r="R345" s="241">
        <f t="shared" si="99"/>
        <v>26441533</v>
      </c>
      <c r="S345" s="242" t="s">
        <v>56</v>
      </c>
      <c r="T345" s="238">
        <v>0</v>
      </c>
      <c r="U345" s="243" t="str">
        <f t="shared" si="94"/>
        <v>SUBDIRECCION DE GESTION CONTRACTUAL</v>
      </c>
      <c r="V345" s="232" t="str">
        <f t="shared" si="95"/>
        <v>CO-DC</v>
      </c>
      <c r="W345" s="243" t="str">
        <f t="shared" si="96"/>
        <v>Distrito Capital de Bogotá</v>
      </c>
      <c r="X345" s="244" t="s">
        <v>383</v>
      </c>
      <c r="Y345" s="245">
        <v>2427400</v>
      </c>
      <c r="Z345" s="246" t="s">
        <v>384</v>
      </c>
    </row>
    <row r="346" spans="1:26" s="5" customFormat="1" ht="12.75" customHeight="1" x14ac:dyDescent="0.2">
      <c r="A346" s="231" t="s">
        <v>379</v>
      </c>
      <c r="B346" s="232">
        <v>61</v>
      </c>
      <c r="C346" s="233" t="s">
        <v>421</v>
      </c>
      <c r="D346" s="233" t="s">
        <v>381</v>
      </c>
      <c r="E346" s="234"/>
      <c r="F346" s="234">
        <v>368000000</v>
      </c>
      <c r="G346" s="234"/>
      <c r="H346" s="235" t="s">
        <v>203</v>
      </c>
      <c r="I346" s="236" t="s">
        <v>401</v>
      </c>
      <c r="J346" s="247">
        <v>8</v>
      </c>
      <c r="K346" s="248">
        <v>8</v>
      </c>
      <c r="L346" s="249">
        <v>4</v>
      </c>
      <c r="M346" s="232">
        <v>1</v>
      </c>
      <c r="N346" s="238" t="s">
        <v>54</v>
      </c>
      <c r="O346" s="239" t="s">
        <v>55</v>
      </c>
      <c r="P346" s="240">
        <v>1</v>
      </c>
      <c r="Q346" s="241">
        <f t="shared" si="98"/>
        <v>368000000</v>
      </c>
      <c r="R346" s="241">
        <f t="shared" si="99"/>
        <v>368000000</v>
      </c>
      <c r="S346" s="242" t="s">
        <v>56</v>
      </c>
      <c r="T346" s="238">
        <v>0</v>
      </c>
      <c r="U346" s="243" t="str">
        <f t="shared" si="94"/>
        <v>SUBDIRECCION DE GESTION CONTRACTUAL</v>
      </c>
      <c r="V346" s="232" t="str">
        <f t="shared" si="95"/>
        <v>CO-DC</v>
      </c>
      <c r="W346" s="243" t="str">
        <f t="shared" si="96"/>
        <v>Distrito Capital de Bogotá</v>
      </c>
      <c r="X346" s="244" t="s">
        <v>121</v>
      </c>
      <c r="Y346" s="232">
        <v>2427400</v>
      </c>
      <c r="Z346" s="246" t="s">
        <v>122</v>
      </c>
    </row>
    <row r="347" spans="1:26" s="5" customFormat="1" ht="12.75" customHeight="1" x14ac:dyDescent="0.2">
      <c r="A347" s="231" t="s">
        <v>379</v>
      </c>
      <c r="B347" s="232">
        <v>62</v>
      </c>
      <c r="C347" s="233" t="s">
        <v>421</v>
      </c>
      <c r="D347" s="233" t="s">
        <v>381</v>
      </c>
      <c r="E347" s="234"/>
      <c r="F347" s="234">
        <v>98767510</v>
      </c>
      <c r="G347" s="234"/>
      <c r="H347" s="235" t="s">
        <v>71</v>
      </c>
      <c r="I347" s="236" t="s">
        <v>393</v>
      </c>
      <c r="J347" s="247">
        <v>2</v>
      </c>
      <c r="K347" s="248">
        <v>3</v>
      </c>
      <c r="L347" s="249">
        <v>10</v>
      </c>
      <c r="M347" s="232">
        <f>IF(ISBLANK(J347),"",1)</f>
        <v>1</v>
      </c>
      <c r="N347" s="238" t="s">
        <v>64</v>
      </c>
      <c r="O347" s="239" t="s">
        <v>65</v>
      </c>
      <c r="P347" s="240">
        <v>1</v>
      </c>
      <c r="Q347" s="241">
        <f t="shared" si="98"/>
        <v>98767510</v>
      </c>
      <c r="R347" s="241">
        <f t="shared" si="99"/>
        <v>98767510</v>
      </c>
      <c r="S347" s="242" t="s">
        <v>56</v>
      </c>
      <c r="T347" s="238">
        <v>0</v>
      </c>
      <c r="U347" s="243" t="str">
        <f t="shared" si="94"/>
        <v>SUBDIRECCION DE GESTION CONTRACTUAL</v>
      </c>
      <c r="V347" s="232" t="str">
        <f t="shared" si="95"/>
        <v>CO-DC</v>
      </c>
      <c r="W347" s="243" t="str">
        <f t="shared" si="96"/>
        <v>Distrito Capital de Bogotá</v>
      </c>
      <c r="X347" s="244" t="s">
        <v>383</v>
      </c>
      <c r="Y347" s="245">
        <v>2427400</v>
      </c>
      <c r="Z347" s="246" t="s">
        <v>384</v>
      </c>
    </row>
    <row r="348" spans="1:26" s="5" customFormat="1" ht="12.75" customHeight="1" x14ac:dyDescent="0.2">
      <c r="A348" s="231" t="s">
        <v>379</v>
      </c>
      <c r="B348" s="232">
        <v>63</v>
      </c>
      <c r="C348" s="233" t="s">
        <v>421</v>
      </c>
      <c r="D348" s="233" t="s">
        <v>381</v>
      </c>
      <c r="E348" s="234"/>
      <c r="F348" s="234">
        <f>27500000-27500000</f>
        <v>0</v>
      </c>
      <c r="G348" s="234"/>
      <c r="H348" s="235" t="s">
        <v>422</v>
      </c>
      <c r="I348" s="236" t="s">
        <v>423</v>
      </c>
      <c r="J348" s="247">
        <v>4</v>
      </c>
      <c r="K348" s="248">
        <v>6</v>
      </c>
      <c r="L348" s="249">
        <v>1</v>
      </c>
      <c r="M348" s="232">
        <f>IF(ISBLANK(J348),"",1)</f>
        <v>1</v>
      </c>
      <c r="N348" s="238" t="s">
        <v>125</v>
      </c>
      <c r="O348" s="239" t="s">
        <v>126</v>
      </c>
      <c r="P348" s="240">
        <v>1</v>
      </c>
      <c r="Q348" s="241">
        <f t="shared" si="98"/>
        <v>0</v>
      </c>
      <c r="R348" s="241">
        <f t="shared" si="99"/>
        <v>0</v>
      </c>
      <c r="S348" s="242" t="s">
        <v>56</v>
      </c>
      <c r="T348" s="238">
        <v>0</v>
      </c>
      <c r="U348" s="243" t="str">
        <f t="shared" si="94"/>
        <v>SUBDIRECCION DE GESTION CONTRACTUAL</v>
      </c>
      <c r="V348" s="232" t="str">
        <f t="shared" si="95"/>
        <v>CO-DC</v>
      </c>
      <c r="W348" s="243" t="str">
        <f t="shared" si="96"/>
        <v>Distrito Capital de Bogotá</v>
      </c>
      <c r="X348" s="244" t="s">
        <v>196</v>
      </c>
      <c r="Y348" s="232">
        <v>2427400</v>
      </c>
      <c r="Z348" s="246" t="s">
        <v>197</v>
      </c>
    </row>
    <row r="349" spans="1:26" s="5" customFormat="1" ht="12.75" customHeight="1" x14ac:dyDescent="0.2">
      <c r="A349" s="231" t="s">
        <v>379</v>
      </c>
      <c r="B349" s="232">
        <v>64</v>
      </c>
      <c r="C349" s="233" t="s">
        <v>421</v>
      </c>
      <c r="D349" s="233" t="s">
        <v>381</v>
      </c>
      <c r="E349" s="234"/>
      <c r="F349" s="234">
        <v>1000000000</v>
      </c>
      <c r="G349" s="234"/>
      <c r="H349" s="251" t="s">
        <v>402</v>
      </c>
      <c r="I349" s="236" t="s">
        <v>403</v>
      </c>
      <c r="J349" s="237">
        <v>6</v>
      </c>
      <c r="K349" s="237">
        <v>6</v>
      </c>
      <c r="L349" s="237">
        <v>6</v>
      </c>
      <c r="M349" s="232">
        <f>IF(ISBLANK(J349),"",1)</f>
        <v>1</v>
      </c>
      <c r="N349" s="238" t="s">
        <v>64</v>
      </c>
      <c r="O349" s="239" t="s">
        <v>65</v>
      </c>
      <c r="P349" s="240">
        <v>1</v>
      </c>
      <c r="Q349" s="241">
        <f t="shared" si="98"/>
        <v>1000000000</v>
      </c>
      <c r="R349" s="241">
        <f t="shared" si="99"/>
        <v>1000000000</v>
      </c>
      <c r="S349" s="242" t="s">
        <v>56</v>
      </c>
      <c r="T349" s="238">
        <v>0</v>
      </c>
      <c r="U349" s="243" t="str">
        <f t="shared" si="94"/>
        <v>SUBDIRECCION DE GESTION CONTRACTUAL</v>
      </c>
      <c r="V349" s="232" t="str">
        <f t="shared" si="95"/>
        <v>CO-DC</v>
      </c>
      <c r="W349" s="243" t="str">
        <f t="shared" si="96"/>
        <v>Distrito Capital de Bogotá</v>
      </c>
      <c r="X349" s="244" t="s">
        <v>383</v>
      </c>
      <c r="Y349" s="245">
        <v>2427400</v>
      </c>
      <c r="Z349" s="246" t="s">
        <v>384</v>
      </c>
    </row>
    <row r="350" spans="1:26" s="5" customFormat="1" ht="12.75" customHeight="1" x14ac:dyDescent="0.2">
      <c r="A350" s="231" t="s">
        <v>379</v>
      </c>
      <c r="B350" s="232">
        <v>65</v>
      </c>
      <c r="C350" s="233" t="s">
        <v>421</v>
      </c>
      <c r="D350" s="233" t="s">
        <v>381</v>
      </c>
      <c r="E350" s="234"/>
      <c r="F350" s="234">
        <v>250000000</v>
      </c>
      <c r="G350" s="234"/>
      <c r="H350" s="235" t="s">
        <v>424</v>
      </c>
      <c r="I350" s="236" t="s">
        <v>425</v>
      </c>
      <c r="J350" s="237">
        <v>3</v>
      </c>
      <c r="K350" s="237">
        <v>4</v>
      </c>
      <c r="L350" s="237">
        <v>7</v>
      </c>
      <c r="M350" s="232">
        <f>IF(ISBLANK(J350),"",1)</f>
        <v>1</v>
      </c>
      <c r="N350" s="238" t="s">
        <v>64</v>
      </c>
      <c r="O350" s="239" t="s">
        <v>65</v>
      </c>
      <c r="P350" s="240">
        <v>1</v>
      </c>
      <c r="Q350" s="241">
        <f t="shared" si="98"/>
        <v>250000000</v>
      </c>
      <c r="R350" s="241">
        <f t="shared" si="99"/>
        <v>250000000</v>
      </c>
      <c r="S350" s="242" t="s">
        <v>56</v>
      </c>
      <c r="T350" s="238">
        <v>0</v>
      </c>
      <c r="U350" s="243" t="str">
        <f t="shared" si="94"/>
        <v>SUBDIRECCION DE GESTION CONTRACTUAL</v>
      </c>
      <c r="V350" s="232" t="str">
        <f t="shared" si="95"/>
        <v>CO-DC</v>
      </c>
      <c r="W350" s="243" t="str">
        <f t="shared" si="96"/>
        <v>Distrito Capital de Bogotá</v>
      </c>
      <c r="X350" s="244" t="s">
        <v>383</v>
      </c>
      <c r="Y350" s="245">
        <v>2427400</v>
      </c>
      <c r="Z350" s="246" t="s">
        <v>384</v>
      </c>
    </row>
    <row r="351" spans="1:26" s="5" customFormat="1" ht="12.75" customHeight="1" x14ac:dyDescent="0.2">
      <c r="A351" s="231" t="s">
        <v>379</v>
      </c>
      <c r="B351" s="232">
        <v>66</v>
      </c>
      <c r="C351" s="233" t="s">
        <v>421</v>
      </c>
      <c r="D351" s="233" t="s">
        <v>381</v>
      </c>
      <c r="E351" s="234"/>
      <c r="F351" s="234">
        <v>150000000</v>
      </c>
      <c r="G351" s="234"/>
      <c r="H351" s="235" t="s">
        <v>426</v>
      </c>
      <c r="I351" s="250" t="s">
        <v>427</v>
      </c>
      <c r="J351" s="253">
        <v>5</v>
      </c>
      <c r="K351" s="253">
        <v>5</v>
      </c>
      <c r="L351" s="253">
        <v>7</v>
      </c>
      <c r="M351" s="232">
        <v>1</v>
      </c>
      <c r="N351" s="238" t="s">
        <v>54</v>
      </c>
      <c r="O351" s="239" t="s">
        <v>55</v>
      </c>
      <c r="P351" s="240">
        <v>1</v>
      </c>
      <c r="Q351" s="241">
        <f t="shared" ref="Q351:Q375" si="101">+E351+F351+G351</f>
        <v>150000000</v>
      </c>
      <c r="R351" s="241">
        <f t="shared" ref="R351:R375" si="102">+F351</f>
        <v>150000000</v>
      </c>
      <c r="S351" s="242" t="s">
        <v>56</v>
      </c>
      <c r="T351" s="238">
        <v>0</v>
      </c>
      <c r="U351" s="243" t="str">
        <f t="shared" ref="U351:U414" si="103">IF(ISBLANK(N351),"","SUBDIRECCION DE GESTION CONTRACTUAL")</f>
        <v>SUBDIRECCION DE GESTION CONTRACTUAL</v>
      </c>
      <c r="V351" s="232" t="str">
        <f t="shared" ref="V351:V414" si="104">IF(ISBLANK(N351),"","CO-DC")</f>
        <v>CO-DC</v>
      </c>
      <c r="W351" s="243" t="str">
        <f t="shared" ref="W351:W414" si="105">IF(ISBLANK(N351),"","Distrito Capital de Bogotá")</f>
        <v>Distrito Capital de Bogotá</v>
      </c>
      <c r="X351" s="244" t="s">
        <v>383</v>
      </c>
      <c r="Y351" s="245">
        <v>2427400</v>
      </c>
      <c r="Z351" s="246" t="s">
        <v>384</v>
      </c>
    </row>
    <row r="352" spans="1:26" s="5" customFormat="1" ht="12.75" customHeight="1" x14ac:dyDescent="0.2">
      <c r="A352" s="231" t="s">
        <v>379</v>
      </c>
      <c r="B352" s="232">
        <v>67</v>
      </c>
      <c r="C352" s="233" t="s">
        <v>428</v>
      </c>
      <c r="D352" s="233" t="s">
        <v>381</v>
      </c>
      <c r="E352" s="234"/>
      <c r="F352" s="234">
        <v>5524393742</v>
      </c>
      <c r="G352" s="234"/>
      <c r="H352" s="235">
        <v>80111600</v>
      </c>
      <c r="I352" s="236" t="s">
        <v>382</v>
      </c>
      <c r="J352" s="237">
        <v>1</v>
      </c>
      <c r="K352" s="237">
        <v>1</v>
      </c>
      <c r="L352" s="237">
        <v>12</v>
      </c>
      <c r="M352" s="232">
        <f t="shared" ref="M352:M360" si="106">IF(ISBLANK(J352),"",1)</f>
        <v>1</v>
      </c>
      <c r="N352" s="238" t="s">
        <v>54</v>
      </c>
      <c r="O352" s="239" t="s">
        <v>55</v>
      </c>
      <c r="P352" s="240">
        <f>IF(ISBLANK(N352),"",1)</f>
        <v>1</v>
      </c>
      <c r="Q352" s="241">
        <f t="shared" si="101"/>
        <v>5524393742</v>
      </c>
      <c r="R352" s="241">
        <f t="shared" si="102"/>
        <v>5524393742</v>
      </c>
      <c r="S352" s="242" t="s">
        <v>56</v>
      </c>
      <c r="T352" s="238">
        <f>IF(ISBLANK(S352),"",IF(VALUE(S352)=0,0,IF(VALUE(S352)=1,3,"")))</f>
        <v>0</v>
      </c>
      <c r="U352" s="243" t="str">
        <f t="shared" si="103"/>
        <v>SUBDIRECCION DE GESTION CONTRACTUAL</v>
      </c>
      <c r="V352" s="232" t="str">
        <f t="shared" si="104"/>
        <v>CO-DC</v>
      </c>
      <c r="W352" s="243" t="str">
        <f t="shared" si="105"/>
        <v>Distrito Capital de Bogotá</v>
      </c>
      <c r="X352" s="244" t="s">
        <v>383</v>
      </c>
      <c r="Y352" s="245">
        <v>2427400</v>
      </c>
      <c r="Z352" s="246" t="s">
        <v>384</v>
      </c>
    </row>
    <row r="353" spans="1:26" s="5" customFormat="1" ht="12.75" customHeight="1" x14ac:dyDescent="0.2">
      <c r="A353" s="231" t="s">
        <v>379</v>
      </c>
      <c r="B353" s="232">
        <v>68</v>
      </c>
      <c r="C353" s="233" t="s">
        <v>428</v>
      </c>
      <c r="D353" s="233" t="s">
        <v>381</v>
      </c>
      <c r="E353" s="234"/>
      <c r="F353" s="234">
        <f>200000000+34012350</f>
        <v>234012350</v>
      </c>
      <c r="G353" s="234"/>
      <c r="H353" s="235" t="s">
        <v>59</v>
      </c>
      <c r="I353" s="236" t="s">
        <v>392</v>
      </c>
      <c r="J353" s="247">
        <v>3</v>
      </c>
      <c r="K353" s="248">
        <v>4</v>
      </c>
      <c r="L353" s="249">
        <v>9</v>
      </c>
      <c r="M353" s="232">
        <f t="shared" si="106"/>
        <v>1</v>
      </c>
      <c r="N353" s="238" t="s">
        <v>61</v>
      </c>
      <c r="O353" s="239" t="s">
        <v>62</v>
      </c>
      <c r="P353" s="240">
        <v>1</v>
      </c>
      <c r="Q353" s="241">
        <f t="shared" si="101"/>
        <v>234012350</v>
      </c>
      <c r="R353" s="241">
        <f t="shared" si="102"/>
        <v>234012350</v>
      </c>
      <c r="S353" s="242" t="s">
        <v>56</v>
      </c>
      <c r="T353" s="238">
        <v>0</v>
      </c>
      <c r="U353" s="243" t="str">
        <f t="shared" si="103"/>
        <v>SUBDIRECCION DE GESTION CONTRACTUAL</v>
      </c>
      <c r="V353" s="232" t="str">
        <f t="shared" si="104"/>
        <v>CO-DC</v>
      </c>
      <c r="W353" s="243" t="str">
        <f t="shared" si="105"/>
        <v>Distrito Capital de Bogotá</v>
      </c>
      <c r="X353" s="244" t="s">
        <v>383</v>
      </c>
      <c r="Y353" s="245">
        <v>2427400</v>
      </c>
      <c r="Z353" s="246" t="s">
        <v>384</v>
      </c>
    </row>
    <row r="354" spans="1:26" s="5" customFormat="1" ht="12.75" customHeight="1" x14ac:dyDescent="0.2">
      <c r="A354" s="231" t="s">
        <v>379</v>
      </c>
      <c r="B354" s="232">
        <v>69</v>
      </c>
      <c r="C354" s="233" t="s">
        <v>428</v>
      </c>
      <c r="D354" s="233" t="s">
        <v>381</v>
      </c>
      <c r="E354" s="234"/>
      <c r="F354" s="234">
        <f>1200000000-845000000</f>
        <v>355000000</v>
      </c>
      <c r="G354" s="234"/>
      <c r="H354" s="235" t="s">
        <v>67</v>
      </c>
      <c r="I354" s="236" t="s">
        <v>385</v>
      </c>
      <c r="J354" s="247">
        <v>2</v>
      </c>
      <c r="K354" s="248">
        <v>3</v>
      </c>
      <c r="L354" s="249">
        <v>9</v>
      </c>
      <c r="M354" s="232">
        <f t="shared" si="106"/>
        <v>1</v>
      </c>
      <c r="N354" s="238" t="s">
        <v>69</v>
      </c>
      <c r="O354" s="239" t="s">
        <v>70</v>
      </c>
      <c r="P354" s="240">
        <v>1</v>
      </c>
      <c r="Q354" s="241">
        <f t="shared" si="101"/>
        <v>355000000</v>
      </c>
      <c r="R354" s="241">
        <f t="shared" si="102"/>
        <v>355000000</v>
      </c>
      <c r="S354" s="242" t="s">
        <v>56</v>
      </c>
      <c r="T354" s="238">
        <v>0</v>
      </c>
      <c r="U354" s="243" t="str">
        <f t="shared" si="103"/>
        <v>SUBDIRECCION DE GESTION CONTRACTUAL</v>
      </c>
      <c r="V354" s="232" t="str">
        <f t="shared" si="104"/>
        <v>CO-DC</v>
      </c>
      <c r="W354" s="243" t="str">
        <f t="shared" si="105"/>
        <v>Distrito Capital de Bogotá</v>
      </c>
      <c r="X354" s="244" t="s">
        <v>383</v>
      </c>
      <c r="Y354" s="245">
        <v>2427400</v>
      </c>
      <c r="Z354" s="246" t="s">
        <v>384</v>
      </c>
    </row>
    <row r="355" spans="1:26" s="5" customFormat="1" ht="12.75" customHeight="1" x14ac:dyDescent="0.2">
      <c r="A355" s="231" t="s">
        <v>379</v>
      </c>
      <c r="B355" s="232">
        <v>70</v>
      </c>
      <c r="C355" s="233" t="s">
        <v>428</v>
      </c>
      <c r="D355" s="233" t="s">
        <v>381</v>
      </c>
      <c r="E355" s="234"/>
      <c r="F355" s="234">
        <f>300000000-300000000</f>
        <v>0</v>
      </c>
      <c r="G355" s="234"/>
      <c r="H355" s="235" t="s">
        <v>67</v>
      </c>
      <c r="I355" s="236" t="s">
        <v>385</v>
      </c>
      <c r="J355" s="237">
        <v>2</v>
      </c>
      <c r="K355" s="237">
        <v>3</v>
      </c>
      <c r="L355" s="237">
        <v>9</v>
      </c>
      <c r="M355" s="232">
        <f t="shared" si="106"/>
        <v>1</v>
      </c>
      <c r="N355" s="238" t="s">
        <v>69</v>
      </c>
      <c r="O355" s="239" t="s">
        <v>70</v>
      </c>
      <c r="P355" s="240">
        <v>1</v>
      </c>
      <c r="Q355" s="241">
        <f t="shared" si="101"/>
        <v>0</v>
      </c>
      <c r="R355" s="241">
        <f t="shared" si="102"/>
        <v>0</v>
      </c>
      <c r="S355" s="242" t="s">
        <v>56</v>
      </c>
      <c r="T355" s="238">
        <v>0</v>
      </c>
      <c r="U355" s="243" t="str">
        <f t="shared" si="103"/>
        <v>SUBDIRECCION DE GESTION CONTRACTUAL</v>
      </c>
      <c r="V355" s="232" t="str">
        <f t="shared" si="104"/>
        <v>CO-DC</v>
      </c>
      <c r="W355" s="243" t="str">
        <f t="shared" si="105"/>
        <v>Distrito Capital de Bogotá</v>
      </c>
      <c r="X355" s="244" t="s">
        <v>383</v>
      </c>
      <c r="Y355" s="245">
        <v>2427400</v>
      </c>
      <c r="Z355" s="246" t="s">
        <v>384</v>
      </c>
    </row>
    <row r="356" spans="1:26" s="5" customFormat="1" ht="12.75" customHeight="1" x14ac:dyDescent="0.2">
      <c r="A356" s="231" t="s">
        <v>379</v>
      </c>
      <c r="B356" s="232">
        <v>71</v>
      </c>
      <c r="C356" s="233" t="s">
        <v>428</v>
      </c>
      <c r="D356" s="233" t="s">
        <v>381</v>
      </c>
      <c r="E356" s="234"/>
      <c r="F356" s="234">
        <v>734787929</v>
      </c>
      <c r="G356" s="234"/>
      <c r="H356" s="235" t="s">
        <v>71</v>
      </c>
      <c r="I356" s="236" t="s">
        <v>393</v>
      </c>
      <c r="J356" s="247">
        <v>2</v>
      </c>
      <c r="K356" s="248">
        <v>3</v>
      </c>
      <c r="L356" s="249">
        <v>10</v>
      </c>
      <c r="M356" s="232">
        <f t="shared" si="106"/>
        <v>1</v>
      </c>
      <c r="N356" s="238" t="s">
        <v>64</v>
      </c>
      <c r="O356" s="239" t="s">
        <v>65</v>
      </c>
      <c r="P356" s="240">
        <v>1</v>
      </c>
      <c r="Q356" s="241">
        <f t="shared" si="101"/>
        <v>734787929</v>
      </c>
      <c r="R356" s="241">
        <f t="shared" si="102"/>
        <v>734787929</v>
      </c>
      <c r="S356" s="242" t="s">
        <v>56</v>
      </c>
      <c r="T356" s="238">
        <v>0</v>
      </c>
      <c r="U356" s="243" t="str">
        <f t="shared" si="103"/>
        <v>SUBDIRECCION DE GESTION CONTRACTUAL</v>
      </c>
      <c r="V356" s="232" t="str">
        <f t="shared" si="104"/>
        <v>CO-DC</v>
      </c>
      <c r="W356" s="243" t="str">
        <f t="shared" si="105"/>
        <v>Distrito Capital de Bogotá</v>
      </c>
      <c r="X356" s="244" t="s">
        <v>383</v>
      </c>
      <c r="Y356" s="245">
        <v>2427400</v>
      </c>
      <c r="Z356" s="246" t="s">
        <v>384</v>
      </c>
    </row>
    <row r="357" spans="1:26" s="5" customFormat="1" ht="12.75" customHeight="1" x14ac:dyDescent="0.2">
      <c r="A357" s="231" t="s">
        <v>379</v>
      </c>
      <c r="B357" s="232">
        <v>72</v>
      </c>
      <c r="C357" s="233" t="s">
        <v>428</v>
      </c>
      <c r="D357" s="233" t="s">
        <v>381</v>
      </c>
      <c r="E357" s="234"/>
      <c r="F357" s="234">
        <f>100000000+200000000</f>
        <v>300000000</v>
      </c>
      <c r="G357" s="234"/>
      <c r="H357" s="245" t="s">
        <v>85</v>
      </c>
      <c r="I357" s="250" t="s">
        <v>429</v>
      </c>
      <c r="J357" s="245">
        <v>11</v>
      </c>
      <c r="K357" s="253">
        <v>11</v>
      </c>
      <c r="L357" s="240">
        <v>1</v>
      </c>
      <c r="M357" s="232">
        <f t="shared" si="106"/>
        <v>1</v>
      </c>
      <c r="N357" s="238" t="s">
        <v>87</v>
      </c>
      <c r="O357" s="239" t="s">
        <v>88</v>
      </c>
      <c r="P357" s="240">
        <v>1</v>
      </c>
      <c r="Q357" s="241">
        <f t="shared" si="101"/>
        <v>300000000</v>
      </c>
      <c r="R357" s="241">
        <f t="shared" si="102"/>
        <v>300000000</v>
      </c>
      <c r="S357" s="242" t="s">
        <v>56</v>
      </c>
      <c r="T357" s="238">
        <v>0</v>
      </c>
      <c r="U357" s="243" t="str">
        <f t="shared" si="103"/>
        <v>SUBDIRECCION DE GESTION CONTRACTUAL</v>
      </c>
      <c r="V357" s="232" t="str">
        <f t="shared" si="104"/>
        <v>CO-DC</v>
      </c>
      <c r="W357" s="243" t="str">
        <f t="shared" si="105"/>
        <v>Distrito Capital de Bogotá</v>
      </c>
      <c r="X357" s="244" t="s">
        <v>89</v>
      </c>
      <c r="Y357" s="245">
        <v>2427400</v>
      </c>
      <c r="Z357" s="246" t="s">
        <v>90</v>
      </c>
    </row>
    <row r="358" spans="1:26" s="5" customFormat="1" ht="12.75" customHeight="1" x14ac:dyDescent="0.2">
      <c r="A358" s="231" t="s">
        <v>379</v>
      </c>
      <c r="B358" s="232">
        <v>73</v>
      </c>
      <c r="C358" s="233" t="s">
        <v>428</v>
      </c>
      <c r="D358" s="233" t="s">
        <v>381</v>
      </c>
      <c r="E358" s="234"/>
      <c r="F358" s="234">
        <f>110000000-110000000</f>
        <v>0</v>
      </c>
      <c r="G358" s="234"/>
      <c r="H358" s="245" t="s">
        <v>430</v>
      </c>
      <c r="I358" s="236" t="s">
        <v>431</v>
      </c>
      <c r="J358" s="237">
        <v>3</v>
      </c>
      <c r="K358" s="237">
        <v>3</v>
      </c>
      <c r="L358" s="237">
        <v>5</v>
      </c>
      <c r="M358" s="232">
        <f t="shared" si="106"/>
        <v>1</v>
      </c>
      <c r="N358" s="238" t="s">
        <v>125</v>
      </c>
      <c r="O358" s="239" t="s">
        <v>126</v>
      </c>
      <c r="P358" s="240">
        <v>1</v>
      </c>
      <c r="Q358" s="241">
        <f t="shared" si="101"/>
        <v>0</v>
      </c>
      <c r="R358" s="241">
        <f t="shared" si="102"/>
        <v>0</v>
      </c>
      <c r="S358" s="242" t="s">
        <v>56</v>
      </c>
      <c r="T358" s="238">
        <v>0</v>
      </c>
      <c r="U358" s="243" t="str">
        <f t="shared" si="103"/>
        <v>SUBDIRECCION DE GESTION CONTRACTUAL</v>
      </c>
      <c r="V358" s="232" t="str">
        <f t="shared" si="104"/>
        <v>CO-DC</v>
      </c>
      <c r="W358" s="243" t="str">
        <f t="shared" si="105"/>
        <v>Distrito Capital de Bogotá</v>
      </c>
      <c r="X358" s="244" t="s">
        <v>383</v>
      </c>
      <c r="Y358" s="245">
        <v>2427400</v>
      </c>
      <c r="Z358" s="246" t="s">
        <v>384</v>
      </c>
    </row>
    <row r="359" spans="1:26" s="5" customFormat="1" ht="12.75" customHeight="1" x14ac:dyDescent="0.2">
      <c r="A359" s="231" t="s">
        <v>379</v>
      </c>
      <c r="B359" s="232">
        <v>74</v>
      </c>
      <c r="C359" s="233" t="s">
        <v>428</v>
      </c>
      <c r="D359" s="233" t="s">
        <v>381</v>
      </c>
      <c r="E359" s="234"/>
      <c r="F359" s="234">
        <f>21740000000+20000000000+1145000000</f>
        <v>42885000000</v>
      </c>
      <c r="G359" s="234"/>
      <c r="H359" s="245" t="s">
        <v>182</v>
      </c>
      <c r="I359" s="256" t="s">
        <v>432</v>
      </c>
      <c r="J359" s="237">
        <v>4</v>
      </c>
      <c r="K359" s="237">
        <v>4</v>
      </c>
      <c r="L359" s="237">
        <v>8</v>
      </c>
      <c r="M359" s="232">
        <f t="shared" si="106"/>
        <v>1</v>
      </c>
      <c r="N359" s="238" t="s">
        <v>54</v>
      </c>
      <c r="O359" s="239" t="s">
        <v>55</v>
      </c>
      <c r="P359" s="240">
        <v>1</v>
      </c>
      <c r="Q359" s="241">
        <f t="shared" si="101"/>
        <v>42885000000</v>
      </c>
      <c r="R359" s="241">
        <f t="shared" si="102"/>
        <v>42885000000</v>
      </c>
      <c r="S359" s="242" t="s">
        <v>56</v>
      </c>
      <c r="T359" s="238">
        <v>0</v>
      </c>
      <c r="U359" s="243" t="str">
        <f t="shared" si="103"/>
        <v>SUBDIRECCION DE GESTION CONTRACTUAL</v>
      </c>
      <c r="V359" s="232" t="str">
        <f t="shared" si="104"/>
        <v>CO-DC</v>
      </c>
      <c r="W359" s="243" t="str">
        <f t="shared" si="105"/>
        <v>Distrito Capital de Bogotá</v>
      </c>
      <c r="X359" s="244" t="s">
        <v>383</v>
      </c>
      <c r="Y359" s="245">
        <v>2427400</v>
      </c>
      <c r="Z359" s="246" t="s">
        <v>384</v>
      </c>
    </row>
    <row r="360" spans="1:26" s="5" customFormat="1" ht="12.75" customHeight="1" thickBot="1" x14ac:dyDescent="0.25">
      <c r="A360" s="231" t="s">
        <v>379</v>
      </c>
      <c r="B360" s="232">
        <v>75</v>
      </c>
      <c r="C360" s="233" t="s">
        <v>428</v>
      </c>
      <c r="D360" s="233" t="s">
        <v>381</v>
      </c>
      <c r="E360" s="234"/>
      <c r="F360" s="234">
        <f>1400000000-200000000</f>
        <v>1200000000</v>
      </c>
      <c r="G360" s="234"/>
      <c r="H360" s="245" t="s">
        <v>411</v>
      </c>
      <c r="I360" s="256" t="s">
        <v>433</v>
      </c>
      <c r="J360" s="237">
        <v>6</v>
      </c>
      <c r="K360" s="237">
        <v>6</v>
      </c>
      <c r="L360" s="237">
        <v>6</v>
      </c>
      <c r="M360" s="232">
        <f t="shared" si="106"/>
        <v>1</v>
      </c>
      <c r="N360" s="238" t="s">
        <v>125</v>
      </c>
      <c r="O360" s="239" t="s">
        <v>126</v>
      </c>
      <c r="P360" s="240">
        <v>1</v>
      </c>
      <c r="Q360" s="241">
        <f t="shared" si="101"/>
        <v>1200000000</v>
      </c>
      <c r="R360" s="241">
        <f t="shared" si="102"/>
        <v>1200000000</v>
      </c>
      <c r="S360" s="242" t="s">
        <v>56</v>
      </c>
      <c r="T360" s="238">
        <v>0</v>
      </c>
      <c r="U360" s="243" t="str">
        <f t="shared" si="103"/>
        <v>SUBDIRECCION DE GESTION CONTRACTUAL</v>
      </c>
      <c r="V360" s="232" t="str">
        <f t="shared" si="104"/>
        <v>CO-DC</v>
      </c>
      <c r="W360" s="243" t="str">
        <f t="shared" si="105"/>
        <v>Distrito Capital de Bogotá</v>
      </c>
      <c r="X360" s="244" t="s">
        <v>383</v>
      </c>
      <c r="Y360" s="245">
        <v>2427400</v>
      </c>
      <c r="Z360" s="246" t="s">
        <v>384</v>
      </c>
    </row>
    <row r="361" spans="1:26" s="5" customFormat="1" ht="12.75" customHeight="1" x14ac:dyDescent="0.2">
      <c r="A361" s="231" t="s">
        <v>379</v>
      </c>
      <c r="B361" s="232">
        <v>76</v>
      </c>
      <c r="C361" s="233" t="s">
        <v>428</v>
      </c>
      <c r="D361" s="233" t="s">
        <v>381</v>
      </c>
      <c r="E361" s="234"/>
      <c r="F361" s="234">
        <v>1800000000</v>
      </c>
      <c r="G361" s="234"/>
      <c r="H361" s="257">
        <v>93142103</v>
      </c>
      <c r="I361" s="254" t="s">
        <v>434</v>
      </c>
      <c r="J361" s="253">
        <v>9</v>
      </c>
      <c r="K361" s="253">
        <v>9</v>
      </c>
      <c r="L361" s="253">
        <v>3</v>
      </c>
      <c r="M361" s="232">
        <v>1</v>
      </c>
      <c r="N361" s="238" t="s">
        <v>54</v>
      </c>
      <c r="O361" s="239" t="s">
        <v>55</v>
      </c>
      <c r="P361" s="240">
        <v>1</v>
      </c>
      <c r="Q361" s="241">
        <f t="shared" si="101"/>
        <v>1800000000</v>
      </c>
      <c r="R361" s="241">
        <f t="shared" si="102"/>
        <v>1800000000</v>
      </c>
      <c r="S361" s="242" t="s">
        <v>56</v>
      </c>
      <c r="T361" s="238">
        <v>0</v>
      </c>
      <c r="U361" s="243" t="str">
        <f t="shared" si="103"/>
        <v>SUBDIRECCION DE GESTION CONTRACTUAL</v>
      </c>
      <c r="V361" s="232" t="str">
        <f t="shared" si="104"/>
        <v>CO-DC</v>
      </c>
      <c r="W361" s="243" t="str">
        <f t="shared" si="105"/>
        <v>Distrito Capital de Bogotá</v>
      </c>
      <c r="X361" s="244" t="s">
        <v>395</v>
      </c>
      <c r="Y361" s="245">
        <v>3213062649</v>
      </c>
      <c r="Z361" s="246" t="s">
        <v>396</v>
      </c>
    </row>
    <row r="362" spans="1:26" s="5" customFormat="1" ht="12.75" customHeight="1" x14ac:dyDescent="0.2">
      <c r="A362" s="231" t="s">
        <v>379</v>
      </c>
      <c r="B362" s="232">
        <v>77</v>
      </c>
      <c r="C362" s="233" t="s">
        <v>428</v>
      </c>
      <c r="D362" s="233" t="s">
        <v>381</v>
      </c>
      <c r="E362" s="234"/>
      <c r="F362" s="234">
        <v>750000000</v>
      </c>
      <c r="G362" s="234"/>
      <c r="H362" s="235" t="s">
        <v>407</v>
      </c>
      <c r="I362" s="236" t="s">
        <v>435</v>
      </c>
      <c r="J362" s="237">
        <v>6</v>
      </c>
      <c r="K362" s="237">
        <v>6</v>
      </c>
      <c r="L362" s="237">
        <v>6</v>
      </c>
      <c r="M362" s="232">
        <f>IF(ISBLANK(J362),"",1)</f>
        <v>1</v>
      </c>
      <c r="N362" s="238" t="s">
        <v>64</v>
      </c>
      <c r="O362" s="239" t="s">
        <v>65</v>
      </c>
      <c r="P362" s="240">
        <v>1</v>
      </c>
      <c r="Q362" s="241">
        <f t="shared" si="101"/>
        <v>750000000</v>
      </c>
      <c r="R362" s="241">
        <f t="shared" si="102"/>
        <v>750000000</v>
      </c>
      <c r="S362" s="242" t="s">
        <v>56</v>
      </c>
      <c r="T362" s="238">
        <v>0</v>
      </c>
      <c r="U362" s="243" t="str">
        <f t="shared" si="103"/>
        <v>SUBDIRECCION DE GESTION CONTRACTUAL</v>
      </c>
      <c r="V362" s="232" t="str">
        <f t="shared" si="104"/>
        <v>CO-DC</v>
      </c>
      <c r="W362" s="243" t="str">
        <f t="shared" si="105"/>
        <v>Distrito Capital de Bogotá</v>
      </c>
      <c r="X362" s="244" t="s">
        <v>395</v>
      </c>
      <c r="Y362" s="245">
        <v>3213062649</v>
      </c>
      <c r="Z362" s="246" t="s">
        <v>396</v>
      </c>
    </row>
    <row r="363" spans="1:26" s="5" customFormat="1" ht="12.75" customHeight="1" thickBot="1" x14ac:dyDescent="0.25">
      <c r="A363" s="231" t="s">
        <v>379</v>
      </c>
      <c r="B363" s="232">
        <v>78</v>
      </c>
      <c r="C363" s="233" t="s">
        <v>428</v>
      </c>
      <c r="D363" s="233" t="s">
        <v>381</v>
      </c>
      <c r="E363" s="234"/>
      <c r="F363" s="234">
        <v>150000000</v>
      </c>
      <c r="G363" s="234"/>
      <c r="H363" s="235" t="s">
        <v>203</v>
      </c>
      <c r="I363" s="236" t="s">
        <v>401</v>
      </c>
      <c r="J363" s="247">
        <v>8</v>
      </c>
      <c r="K363" s="248">
        <v>8</v>
      </c>
      <c r="L363" s="249">
        <v>4</v>
      </c>
      <c r="M363" s="232">
        <v>1</v>
      </c>
      <c r="N363" s="238" t="s">
        <v>54</v>
      </c>
      <c r="O363" s="239" t="s">
        <v>55</v>
      </c>
      <c r="P363" s="240">
        <v>1</v>
      </c>
      <c r="Q363" s="241">
        <f t="shared" si="101"/>
        <v>150000000</v>
      </c>
      <c r="R363" s="241">
        <f t="shared" si="102"/>
        <v>150000000</v>
      </c>
      <c r="S363" s="242" t="s">
        <v>56</v>
      </c>
      <c r="T363" s="238">
        <v>0</v>
      </c>
      <c r="U363" s="243" t="str">
        <f t="shared" si="103"/>
        <v>SUBDIRECCION DE GESTION CONTRACTUAL</v>
      </c>
      <c r="V363" s="232" t="str">
        <f t="shared" si="104"/>
        <v>CO-DC</v>
      </c>
      <c r="W363" s="243" t="str">
        <f t="shared" si="105"/>
        <v>Distrito Capital de Bogotá</v>
      </c>
      <c r="X363" s="244" t="s">
        <v>121</v>
      </c>
      <c r="Y363" s="232">
        <v>2427400</v>
      </c>
      <c r="Z363" s="246" t="s">
        <v>122</v>
      </c>
    </row>
    <row r="364" spans="1:26" s="5" customFormat="1" ht="12.75" customHeight="1" x14ac:dyDescent="0.2">
      <c r="A364" s="231" t="s">
        <v>379</v>
      </c>
      <c r="B364" s="232">
        <v>79</v>
      </c>
      <c r="C364" s="233" t="s">
        <v>436</v>
      </c>
      <c r="D364" s="233" t="s">
        <v>437</v>
      </c>
      <c r="E364" s="234"/>
      <c r="F364" s="234">
        <f>4000000000-900000000-1098491080</f>
        <v>2001508920</v>
      </c>
      <c r="G364" s="234"/>
      <c r="H364" s="245" t="s">
        <v>420</v>
      </c>
      <c r="I364" s="254" t="s">
        <v>414</v>
      </c>
      <c r="J364" s="255">
        <v>9</v>
      </c>
      <c r="K364" s="255">
        <v>9</v>
      </c>
      <c r="L364" s="255">
        <v>3</v>
      </c>
      <c r="M364" s="232">
        <f>IF(ISBLANK(J364),"",1)</f>
        <v>1</v>
      </c>
      <c r="N364" s="238" t="s">
        <v>64</v>
      </c>
      <c r="O364" s="239" t="s">
        <v>65</v>
      </c>
      <c r="P364" s="240">
        <v>1</v>
      </c>
      <c r="Q364" s="241">
        <f t="shared" si="101"/>
        <v>2001508920</v>
      </c>
      <c r="R364" s="241">
        <f t="shared" si="102"/>
        <v>2001508920</v>
      </c>
      <c r="S364" s="242" t="s">
        <v>56</v>
      </c>
      <c r="T364" s="238">
        <v>0</v>
      </c>
      <c r="U364" s="243" t="str">
        <f t="shared" si="103"/>
        <v>SUBDIRECCION DE GESTION CONTRACTUAL</v>
      </c>
      <c r="V364" s="232" t="str">
        <f t="shared" si="104"/>
        <v>CO-DC</v>
      </c>
      <c r="W364" s="243" t="str">
        <f t="shared" si="105"/>
        <v>Distrito Capital de Bogotá</v>
      </c>
      <c r="X364" s="244" t="s">
        <v>395</v>
      </c>
      <c r="Y364" s="245">
        <v>3213062649</v>
      </c>
      <c r="Z364" s="246" t="s">
        <v>396</v>
      </c>
    </row>
    <row r="365" spans="1:26" s="5" customFormat="1" ht="12.75" customHeight="1" x14ac:dyDescent="0.2">
      <c r="A365" s="231" t="s">
        <v>379</v>
      </c>
      <c r="B365" s="232">
        <v>80</v>
      </c>
      <c r="C365" s="233" t="s">
        <v>436</v>
      </c>
      <c r="D365" s="233" t="s">
        <v>437</v>
      </c>
      <c r="E365" s="234"/>
      <c r="F365" s="234">
        <f>3000000000-3000000000+1060000000</f>
        <v>1060000000</v>
      </c>
      <c r="G365" s="234"/>
      <c r="H365" s="245" t="s">
        <v>438</v>
      </c>
      <c r="I365" s="258" t="s">
        <v>439</v>
      </c>
      <c r="J365" s="253">
        <v>9</v>
      </c>
      <c r="K365" s="253">
        <v>9</v>
      </c>
      <c r="L365" s="253">
        <v>3</v>
      </c>
      <c r="M365" s="232">
        <f>IF(ISBLANK(J365),"",1)</f>
        <v>1</v>
      </c>
      <c r="N365" s="238" t="s">
        <v>64</v>
      </c>
      <c r="O365" s="239" t="s">
        <v>65</v>
      </c>
      <c r="P365" s="240">
        <v>1</v>
      </c>
      <c r="Q365" s="241">
        <f t="shared" si="101"/>
        <v>1060000000</v>
      </c>
      <c r="R365" s="241">
        <f t="shared" si="102"/>
        <v>1060000000</v>
      </c>
      <c r="S365" s="242" t="s">
        <v>56</v>
      </c>
      <c r="T365" s="238">
        <v>0</v>
      </c>
      <c r="U365" s="243" t="str">
        <f t="shared" si="103"/>
        <v>SUBDIRECCION DE GESTION CONTRACTUAL</v>
      </c>
      <c r="V365" s="232" t="str">
        <f t="shared" si="104"/>
        <v>CO-DC</v>
      </c>
      <c r="W365" s="243" t="str">
        <f t="shared" si="105"/>
        <v>Distrito Capital de Bogotá</v>
      </c>
      <c r="X365" s="244" t="s">
        <v>395</v>
      </c>
      <c r="Y365" s="245">
        <v>3213062649</v>
      </c>
      <c r="Z365" s="246" t="s">
        <v>396</v>
      </c>
    </row>
    <row r="366" spans="1:26" s="5" customFormat="1" ht="12.75" customHeight="1" x14ac:dyDescent="0.2">
      <c r="A366" s="231" t="s">
        <v>379</v>
      </c>
      <c r="B366" s="232">
        <v>81</v>
      </c>
      <c r="C366" s="233" t="s">
        <v>436</v>
      </c>
      <c r="D366" s="233" t="s">
        <v>437</v>
      </c>
      <c r="E366" s="234"/>
      <c r="F366" s="234">
        <f>900000000-900000000</f>
        <v>0</v>
      </c>
      <c r="G366" s="234"/>
      <c r="H366" s="251" t="s">
        <v>440</v>
      </c>
      <c r="I366" s="236" t="s">
        <v>441</v>
      </c>
      <c r="J366" s="237">
        <v>6</v>
      </c>
      <c r="K366" s="237">
        <v>6</v>
      </c>
      <c r="L366" s="237">
        <v>6</v>
      </c>
      <c r="M366" s="232">
        <f>IF(ISBLANK(J366),"",1)</f>
        <v>1</v>
      </c>
      <c r="N366" s="238" t="s">
        <v>64</v>
      </c>
      <c r="O366" s="239" t="s">
        <v>65</v>
      </c>
      <c r="P366" s="240">
        <v>1</v>
      </c>
      <c r="Q366" s="241">
        <f t="shared" si="101"/>
        <v>0</v>
      </c>
      <c r="R366" s="241">
        <f t="shared" si="102"/>
        <v>0</v>
      </c>
      <c r="S366" s="242" t="s">
        <v>56</v>
      </c>
      <c r="T366" s="238">
        <v>0</v>
      </c>
      <c r="U366" s="243" t="str">
        <f t="shared" si="103"/>
        <v>SUBDIRECCION DE GESTION CONTRACTUAL</v>
      </c>
      <c r="V366" s="232" t="str">
        <f t="shared" si="104"/>
        <v>CO-DC</v>
      </c>
      <c r="W366" s="243" t="str">
        <f t="shared" si="105"/>
        <v>Distrito Capital de Bogotá</v>
      </c>
      <c r="X366" s="244" t="s">
        <v>383</v>
      </c>
      <c r="Y366" s="245">
        <v>3112377159</v>
      </c>
      <c r="Z366" s="246" t="s">
        <v>384</v>
      </c>
    </row>
    <row r="367" spans="1:26" s="5" customFormat="1" ht="12.75" customHeight="1" x14ac:dyDescent="0.2">
      <c r="A367" s="231" t="s">
        <v>379</v>
      </c>
      <c r="B367" s="232">
        <v>82</v>
      </c>
      <c r="C367" s="233" t="s">
        <v>436</v>
      </c>
      <c r="D367" s="233" t="s">
        <v>437</v>
      </c>
      <c r="E367" s="234"/>
      <c r="F367" s="234">
        <f>3180800000+900000000</f>
        <v>4080800000</v>
      </c>
      <c r="G367" s="234"/>
      <c r="H367" s="235" t="s">
        <v>442</v>
      </c>
      <c r="I367" s="256" t="s">
        <v>443</v>
      </c>
      <c r="J367" s="237">
        <v>12</v>
      </c>
      <c r="K367" s="237">
        <v>12</v>
      </c>
      <c r="L367" s="237">
        <v>1</v>
      </c>
      <c r="M367" s="232">
        <f>IF(ISBLANK(J367),"",1)</f>
        <v>1</v>
      </c>
      <c r="N367" s="238" t="s">
        <v>64</v>
      </c>
      <c r="O367" s="239" t="s">
        <v>65</v>
      </c>
      <c r="P367" s="240">
        <v>1</v>
      </c>
      <c r="Q367" s="241">
        <f t="shared" si="101"/>
        <v>4080800000</v>
      </c>
      <c r="R367" s="241">
        <f t="shared" si="102"/>
        <v>4080800000</v>
      </c>
      <c r="S367" s="242" t="s">
        <v>56</v>
      </c>
      <c r="T367" s="238">
        <v>0</v>
      </c>
      <c r="U367" s="243" t="str">
        <f t="shared" si="103"/>
        <v>SUBDIRECCION DE GESTION CONTRACTUAL</v>
      </c>
      <c r="V367" s="232" t="str">
        <f t="shared" si="104"/>
        <v>CO-DC</v>
      </c>
      <c r="W367" s="243" t="str">
        <f t="shared" si="105"/>
        <v>Distrito Capital de Bogotá</v>
      </c>
      <c r="X367" s="244" t="s">
        <v>395</v>
      </c>
      <c r="Y367" s="245">
        <v>3213062649</v>
      </c>
      <c r="Z367" s="246" t="s">
        <v>396</v>
      </c>
    </row>
    <row r="368" spans="1:26" s="5" customFormat="1" ht="12.75" customHeight="1" x14ac:dyDescent="0.2">
      <c r="A368" s="231" t="s">
        <v>379</v>
      </c>
      <c r="B368" s="232">
        <v>83</v>
      </c>
      <c r="C368" s="233" t="s">
        <v>436</v>
      </c>
      <c r="D368" s="233" t="s">
        <v>437</v>
      </c>
      <c r="E368" s="234"/>
      <c r="F368" s="234">
        <f>3000000000-430000000</f>
        <v>2570000000</v>
      </c>
      <c r="G368" s="234"/>
      <c r="H368" s="235" t="s">
        <v>67</v>
      </c>
      <c r="I368" s="236" t="s">
        <v>385</v>
      </c>
      <c r="J368" s="237">
        <v>2</v>
      </c>
      <c r="K368" s="237">
        <v>3</v>
      </c>
      <c r="L368" s="237">
        <v>9</v>
      </c>
      <c r="M368" s="232">
        <f>IF(ISBLANK(J368),"",1)</f>
        <v>1</v>
      </c>
      <c r="N368" s="238" t="s">
        <v>69</v>
      </c>
      <c r="O368" s="239" t="s">
        <v>70</v>
      </c>
      <c r="P368" s="240">
        <v>1</v>
      </c>
      <c r="Q368" s="241">
        <f t="shared" si="101"/>
        <v>2570000000</v>
      </c>
      <c r="R368" s="241">
        <f t="shared" si="102"/>
        <v>2570000000</v>
      </c>
      <c r="S368" s="242" t="s">
        <v>56</v>
      </c>
      <c r="T368" s="238">
        <v>0</v>
      </c>
      <c r="U368" s="243" t="str">
        <f t="shared" si="103"/>
        <v>SUBDIRECCION DE GESTION CONTRACTUAL</v>
      </c>
      <c r="V368" s="232" t="str">
        <f t="shared" si="104"/>
        <v>CO-DC</v>
      </c>
      <c r="W368" s="243" t="str">
        <f t="shared" si="105"/>
        <v>Distrito Capital de Bogotá</v>
      </c>
      <c r="X368" s="244" t="s">
        <v>383</v>
      </c>
      <c r="Y368" s="245">
        <v>2427400</v>
      </c>
      <c r="Z368" s="246" t="s">
        <v>384</v>
      </c>
    </row>
    <row r="369" spans="1:26" s="5" customFormat="1" ht="13.5" customHeight="1" x14ac:dyDescent="0.2">
      <c r="A369" s="231" t="s">
        <v>379</v>
      </c>
      <c r="B369" s="232">
        <v>84</v>
      </c>
      <c r="C369" s="233" t="s">
        <v>436</v>
      </c>
      <c r="D369" s="233" t="s">
        <v>437</v>
      </c>
      <c r="E369" s="234"/>
      <c r="F369" s="234">
        <f>9000000000-3000000000-1000000000+900000000+60000000-1961508920</f>
        <v>3998491080</v>
      </c>
      <c r="G369" s="234"/>
      <c r="H369" s="235" t="s">
        <v>444</v>
      </c>
      <c r="I369" s="236" t="s">
        <v>445</v>
      </c>
      <c r="J369" s="237">
        <v>7</v>
      </c>
      <c r="K369" s="237">
        <v>7</v>
      </c>
      <c r="L369" s="237">
        <v>5</v>
      </c>
      <c r="M369" s="232">
        <v>1</v>
      </c>
      <c r="N369" s="238" t="s">
        <v>54</v>
      </c>
      <c r="O369" s="239" t="s">
        <v>55</v>
      </c>
      <c r="P369" s="240">
        <v>1</v>
      </c>
      <c r="Q369" s="241">
        <f t="shared" si="101"/>
        <v>3998491080</v>
      </c>
      <c r="R369" s="241">
        <f t="shared" si="102"/>
        <v>3998491080</v>
      </c>
      <c r="S369" s="242" t="s">
        <v>56</v>
      </c>
      <c r="T369" s="238">
        <v>0</v>
      </c>
      <c r="U369" s="243" t="str">
        <f t="shared" si="103"/>
        <v>SUBDIRECCION DE GESTION CONTRACTUAL</v>
      </c>
      <c r="V369" s="232" t="str">
        <f t="shared" si="104"/>
        <v>CO-DC</v>
      </c>
      <c r="W369" s="243" t="str">
        <f t="shared" si="105"/>
        <v>Distrito Capital de Bogotá</v>
      </c>
      <c r="X369" s="244" t="s">
        <v>395</v>
      </c>
      <c r="Y369" s="245">
        <v>3213062649</v>
      </c>
      <c r="Z369" s="246" t="s">
        <v>396</v>
      </c>
    </row>
    <row r="370" spans="1:26" s="5" customFormat="1" ht="13.5" customHeight="1" x14ac:dyDescent="0.2">
      <c r="A370" s="231" t="s">
        <v>379</v>
      </c>
      <c r="B370" s="232">
        <v>85</v>
      </c>
      <c r="C370" s="233" t="s">
        <v>436</v>
      </c>
      <c r="D370" s="233" t="s">
        <v>437</v>
      </c>
      <c r="E370" s="234"/>
      <c r="F370" s="234">
        <f>22070000000+5420107990</f>
        <v>27490107990</v>
      </c>
      <c r="G370" s="234"/>
      <c r="H370" s="251" t="s">
        <v>182</v>
      </c>
      <c r="I370" s="236" t="s">
        <v>446</v>
      </c>
      <c r="J370" s="237">
        <v>4</v>
      </c>
      <c r="K370" s="237">
        <v>4</v>
      </c>
      <c r="L370" s="237">
        <v>8</v>
      </c>
      <c r="M370" s="232">
        <f>IF(ISBLANK(J370),"",1)</f>
        <v>1</v>
      </c>
      <c r="N370" s="238" t="s">
        <v>54</v>
      </c>
      <c r="O370" s="239" t="s">
        <v>55</v>
      </c>
      <c r="P370" s="240">
        <v>1</v>
      </c>
      <c r="Q370" s="241">
        <f t="shared" si="101"/>
        <v>27490107990</v>
      </c>
      <c r="R370" s="241">
        <f t="shared" si="102"/>
        <v>27490107990</v>
      </c>
      <c r="S370" s="242" t="s">
        <v>56</v>
      </c>
      <c r="T370" s="238">
        <v>0</v>
      </c>
      <c r="U370" s="243" t="str">
        <f t="shared" si="103"/>
        <v>SUBDIRECCION DE GESTION CONTRACTUAL</v>
      </c>
      <c r="V370" s="232" t="str">
        <f t="shared" si="104"/>
        <v>CO-DC</v>
      </c>
      <c r="W370" s="243" t="str">
        <f t="shared" si="105"/>
        <v>Distrito Capital de Bogotá</v>
      </c>
      <c r="X370" s="244" t="s">
        <v>383</v>
      </c>
      <c r="Y370" s="245">
        <v>2427400</v>
      </c>
      <c r="Z370" s="246" t="s">
        <v>384</v>
      </c>
    </row>
    <row r="371" spans="1:26" s="5" customFormat="1" ht="12.75" customHeight="1" x14ac:dyDescent="0.2">
      <c r="A371" s="231" t="s">
        <v>379</v>
      </c>
      <c r="B371" s="232">
        <v>86</v>
      </c>
      <c r="C371" s="233" t="s">
        <v>436</v>
      </c>
      <c r="D371" s="233" t="s">
        <v>437</v>
      </c>
      <c r="E371" s="234"/>
      <c r="F371" s="234">
        <f>4000000000-1990107990-2009892010</f>
        <v>0</v>
      </c>
      <c r="G371" s="234"/>
      <c r="H371" s="235" t="s">
        <v>447</v>
      </c>
      <c r="I371" s="236" t="s">
        <v>448</v>
      </c>
      <c r="J371" s="237">
        <v>3</v>
      </c>
      <c r="K371" s="237">
        <v>4</v>
      </c>
      <c r="L371" s="237">
        <v>8</v>
      </c>
      <c r="M371" s="232">
        <f>IF(ISBLANK(J371),"",1)</f>
        <v>1</v>
      </c>
      <c r="N371" s="238" t="s">
        <v>64</v>
      </c>
      <c r="O371" s="239" t="s">
        <v>65</v>
      </c>
      <c r="P371" s="240">
        <v>1</v>
      </c>
      <c r="Q371" s="241">
        <f t="shared" si="101"/>
        <v>0</v>
      </c>
      <c r="R371" s="241">
        <f t="shared" si="102"/>
        <v>0</v>
      </c>
      <c r="S371" s="242" t="s">
        <v>56</v>
      </c>
      <c r="T371" s="238">
        <v>0</v>
      </c>
      <c r="U371" s="243" t="str">
        <f t="shared" si="103"/>
        <v>SUBDIRECCION DE GESTION CONTRACTUAL</v>
      </c>
      <c r="V371" s="232" t="str">
        <f t="shared" si="104"/>
        <v>CO-DC</v>
      </c>
      <c r="W371" s="243" t="str">
        <f t="shared" si="105"/>
        <v>Distrito Capital de Bogotá</v>
      </c>
      <c r="X371" s="244" t="s">
        <v>383</v>
      </c>
      <c r="Y371" s="245">
        <v>2427400</v>
      </c>
      <c r="Z371" s="246" t="s">
        <v>384</v>
      </c>
    </row>
    <row r="372" spans="1:26" s="5" customFormat="1" ht="12.75" customHeight="1" x14ac:dyDescent="0.2">
      <c r="A372" s="231" t="s">
        <v>379</v>
      </c>
      <c r="B372" s="232">
        <v>87</v>
      </c>
      <c r="C372" s="233" t="s">
        <v>436</v>
      </c>
      <c r="D372" s="233" t="s">
        <v>437</v>
      </c>
      <c r="E372" s="234"/>
      <c r="F372" s="234">
        <f>849200000+2000000000</f>
        <v>2849200000</v>
      </c>
      <c r="G372" s="234"/>
      <c r="H372" s="257">
        <v>93142103</v>
      </c>
      <c r="I372" s="236" t="s">
        <v>449</v>
      </c>
      <c r="J372" s="237">
        <v>9</v>
      </c>
      <c r="K372" s="237">
        <v>9</v>
      </c>
      <c r="L372" s="237">
        <v>3</v>
      </c>
      <c r="M372" s="232">
        <v>1</v>
      </c>
      <c r="N372" s="238" t="s">
        <v>54</v>
      </c>
      <c r="O372" s="239" t="s">
        <v>55</v>
      </c>
      <c r="P372" s="240">
        <v>1</v>
      </c>
      <c r="Q372" s="241">
        <f t="shared" si="101"/>
        <v>2849200000</v>
      </c>
      <c r="R372" s="241">
        <f t="shared" si="102"/>
        <v>2849200000</v>
      </c>
      <c r="S372" s="242" t="s">
        <v>56</v>
      </c>
      <c r="T372" s="238">
        <v>0</v>
      </c>
      <c r="U372" s="243" t="str">
        <f t="shared" si="103"/>
        <v>SUBDIRECCION DE GESTION CONTRACTUAL</v>
      </c>
      <c r="V372" s="232" t="str">
        <f t="shared" si="104"/>
        <v>CO-DC</v>
      </c>
      <c r="W372" s="243" t="str">
        <f t="shared" si="105"/>
        <v>Distrito Capital de Bogotá</v>
      </c>
      <c r="X372" s="244" t="s">
        <v>395</v>
      </c>
      <c r="Y372" s="245">
        <v>3213062649</v>
      </c>
      <c r="Z372" s="246" t="s">
        <v>396</v>
      </c>
    </row>
    <row r="373" spans="1:26" s="5" customFormat="1" ht="12.75" customHeight="1" thickBot="1" x14ac:dyDescent="0.25">
      <c r="A373" s="231" t="s">
        <v>379</v>
      </c>
      <c r="B373" s="232">
        <v>88</v>
      </c>
      <c r="C373" s="233" t="s">
        <v>450</v>
      </c>
      <c r="D373" s="259" t="s">
        <v>451</v>
      </c>
      <c r="E373" s="234"/>
      <c r="F373" s="234">
        <v>950000000</v>
      </c>
      <c r="G373" s="234"/>
      <c r="H373" s="251" t="s">
        <v>402</v>
      </c>
      <c r="I373" s="236" t="s">
        <v>403</v>
      </c>
      <c r="J373" s="237">
        <v>6</v>
      </c>
      <c r="K373" s="237">
        <v>6</v>
      </c>
      <c r="L373" s="237">
        <v>6</v>
      </c>
      <c r="M373" s="232">
        <f>IF(ISBLANK(J373),"",1)</f>
        <v>1</v>
      </c>
      <c r="N373" s="238" t="s">
        <v>64</v>
      </c>
      <c r="O373" s="239" t="s">
        <v>65</v>
      </c>
      <c r="P373" s="240">
        <v>1</v>
      </c>
      <c r="Q373" s="241">
        <f t="shared" si="101"/>
        <v>950000000</v>
      </c>
      <c r="R373" s="241">
        <f t="shared" si="102"/>
        <v>950000000</v>
      </c>
      <c r="S373" s="242" t="s">
        <v>56</v>
      </c>
      <c r="T373" s="238">
        <v>0</v>
      </c>
      <c r="U373" s="243" t="str">
        <f t="shared" si="103"/>
        <v>SUBDIRECCION DE GESTION CONTRACTUAL</v>
      </c>
      <c r="V373" s="232" t="str">
        <f t="shared" si="104"/>
        <v>CO-DC</v>
      </c>
      <c r="W373" s="243" t="str">
        <f t="shared" si="105"/>
        <v>Distrito Capital de Bogotá</v>
      </c>
      <c r="X373" s="244" t="s">
        <v>383</v>
      </c>
      <c r="Y373" s="245">
        <v>2427400</v>
      </c>
      <c r="Z373" s="246" t="s">
        <v>384</v>
      </c>
    </row>
    <row r="374" spans="1:26" s="5" customFormat="1" ht="12.75" customHeight="1" x14ac:dyDescent="0.2">
      <c r="A374" s="231" t="s">
        <v>379</v>
      </c>
      <c r="B374" s="232">
        <v>89</v>
      </c>
      <c r="C374" s="233" t="s">
        <v>450</v>
      </c>
      <c r="D374" s="259" t="s">
        <v>451</v>
      </c>
      <c r="E374" s="234"/>
      <c r="F374" s="234">
        <v>440000000</v>
      </c>
      <c r="G374" s="234"/>
      <c r="H374" s="245" t="s">
        <v>420</v>
      </c>
      <c r="I374" s="254" t="s">
        <v>414</v>
      </c>
      <c r="J374" s="255">
        <v>9</v>
      </c>
      <c r="K374" s="255">
        <v>9</v>
      </c>
      <c r="L374" s="255">
        <v>3</v>
      </c>
      <c r="M374" s="232">
        <f>IF(ISBLANK(J374),"",1)</f>
        <v>1</v>
      </c>
      <c r="N374" s="238" t="s">
        <v>64</v>
      </c>
      <c r="O374" s="239" t="s">
        <v>65</v>
      </c>
      <c r="P374" s="240">
        <v>1</v>
      </c>
      <c r="Q374" s="241">
        <f t="shared" si="101"/>
        <v>440000000</v>
      </c>
      <c r="R374" s="241">
        <f t="shared" si="102"/>
        <v>440000000</v>
      </c>
      <c r="S374" s="242" t="s">
        <v>56</v>
      </c>
      <c r="T374" s="238">
        <v>0</v>
      </c>
      <c r="U374" s="243" t="str">
        <f t="shared" si="103"/>
        <v>SUBDIRECCION DE GESTION CONTRACTUAL</v>
      </c>
      <c r="V374" s="232" t="str">
        <f t="shared" si="104"/>
        <v>CO-DC</v>
      </c>
      <c r="W374" s="243" t="str">
        <f t="shared" si="105"/>
        <v>Distrito Capital de Bogotá</v>
      </c>
      <c r="X374" s="244" t="s">
        <v>395</v>
      </c>
      <c r="Y374" s="245">
        <v>3213062649</v>
      </c>
      <c r="Z374" s="246" t="s">
        <v>396</v>
      </c>
    </row>
    <row r="375" spans="1:26" s="5" customFormat="1" ht="12.75" customHeight="1" x14ac:dyDescent="0.2">
      <c r="A375" s="231" t="s">
        <v>379</v>
      </c>
      <c r="B375" s="232">
        <v>90</v>
      </c>
      <c r="C375" s="233" t="s">
        <v>450</v>
      </c>
      <c r="D375" s="259" t="s">
        <v>451</v>
      </c>
      <c r="E375" s="234"/>
      <c r="F375" s="234">
        <v>610000000</v>
      </c>
      <c r="G375" s="234"/>
      <c r="H375" s="251" t="s">
        <v>426</v>
      </c>
      <c r="I375" s="236" t="s">
        <v>427</v>
      </c>
      <c r="J375" s="237">
        <v>5</v>
      </c>
      <c r="K375" s="237">
        <v>5</v>
      </c>
      <c r="L375" s="237">
        <v>7</v>
      </c>
      <c r="M375" s="232">
        <v>1</v>
      </c>
      <c r="N375" s="238" t="s">
        <v>54</v>
      </c>
      <c r="O375" s="239" t="s">
        <v>55</v>
      </c>
      <c r="P375" s="240">
        <v>1</v>
      </c>
      <c r="Q375" s="241">
        <f t="shared" si="101"/>
        <v>610000000</v>
      </c>
      <c r="R375" s="241">
        <f t="shared" si="102"/>
        <v>610000000</v>
      </c>
      <c r="S375" s="242" t="s">
        <v>56</v>
      </c>
      <c r="T375" s="238">
        <v>0</v>
      </c>
      <c r="U375" s="243" t="str">
        <f t="shared" si="103"/>
        <v>SUBDIRECCION DE GESTION CONTRACTUAL</v>
      </c>
      <c r="V375" s="232" t="str">
        <f t="shared" si="104"/>
        <v>CO-DC</v>
      </c>
      <c r="W375" s="243" t="str">
        <f t="shared" si="105"/>
        <v>Distrito Capital de Bogotá</v>
      </c>
      <c r="X375" s="244" t="s">
        <v>383</v>
      </c>
      <c r="Y375" s="245">
        <v>2427400</v>
      </c>
      <c r="Z375" s="246" t="s">
        <v>384</v>
      </c>
    </row>
    <row r="376" spans="1:26" s="5" customFormat="1" ht="12.75" customHeight="1" x14ac:dyDescent="0.2">
      <c r="A376" s="231" t="s">
        <v>379</v>
      </c>
      <c r="B376" s="232">
        <v>91</v>
      </c>
      <c r="C376" s="233" t="s">
        <v>415</v>
      </c>
      <c r="D376" s="233" t="s">
        <v>381</v>
      </c>
      <c r="E376" s="234"/>
      <c r="F376" s="234">
        <v>15000000</v>
      </c>
      <c r="G376" s="234"/>
      <c r="H376" s="235" t="s">
        <v>452</v>
      </c>
      <c r="I376" s="236" t="s">
        <v>453</v>
      </c>
      <c r="J376" s="237">
        <v>10</v>
      </c>
      <c r="K376" s="237">
        <v>10</v>
      </c>
      <c r="L376" s="237">
        <v>1</v>
      </c>
      <c r="M376" s="232">
        <v>1</v>
      </c>
      <c r="N376" s="238" t="s">
        <v>100</v>
      </c>
      <c r="O376" s="239" t="s">
        <v>101</v>
      </c>
      <c r="P376" s="240">
        <v>1</v>
      </c>
      <c r="Q376" s="241">
        <v>15000000</v>
      </c>
      <c r="R376" s="241">
        <v>15000000</v>
      </c>
      <c r="S376" s="242" t="s">
        <v>56</v>
      </c>
      <c r="T376" s="238">
        <v>0</v>
      </c>
      <c r="U376" s="243" t="str">
        <f t="shared" si="103"/>
        <v>SUBDIRECCION DE GESTION CONTRACTUAL</v>
      </c>
      <c r="V376" s="232" t="str">
        <f t="shared" si="104"/>
        <v>CO-DC</v>
      </c>
      <c r="W376" s="243" t="str">
        <f t="shared" si="105"/>
        <v>Distrito Capital de Bogotá</v>
      </c>
      <c r="X376" s="244" t="s">
        <v>196</v>
      </c>
      <c r="Y376" s="245">
        <v>2427400</v>
      </c>
      <c r="Z376" s="246" t="s">
        <v>197</v>
      </c>
    </row>
    <row r="377" spans="1:26" s="5" customFormat="1" ht="12.75" customHeight="1" x14ac:dyDescent="0.2">
      <c r="A377" s="231" t="s">
        <v>379</v>
      </c>
      <c r="B377" s="232">
        <v>92</v>
      </c>
      <c r="C377" s="233" t="s">
        <v>428</v>
      </c>
      <c r="D377" s="233" t="s">
        <v>381</v>
      </c>
      <c r="E377" s="234"/>
      <c r="F377" s="234">
        <f>20000000000-20000000000</f>
        <v>0</v>
      </c>
      <c r="G377" s="234"/>
      <c r="H377" s="235" t="s">
        <v>424</v>
      </c>
      <c r="I377" s="256" t="s">
        <v>454</v>
      </c>
      <c r="J377" s="237">
        <v>2</v>
      </c>
      <c r="K377" s="237">
        <v>2</v>
      </c>
      <c r="L377" s="237">
        <v>10</v>
      </c>
      <c r="M377" s="232">
        <v>1</v>
      </c>
      <c r="N377" s="238" t="s">
        <v>64</v>
      </c>
      <c r="O377" s="239" t="s">
        <v>65</v>
      </c>
      <c r="P377" s="240">
        <v>1</v>
      </c>
      <c r="Q377" s="241">
        <v>0</v>
      </c>
      <c r="R377" s="241">
        <v>0</v>
      </c>
      <c r="S377" s="242" t="s">
        <v>56</v>
      </c>
      <c r="T377" s="238">
        <v>0</v>
      </c>
      <c r="U377" s="243" t="str">
        <f t="shared" si="103"/>
        <v>SUBDIRECCION DE GESTION CONTRACTUAL</v>
      </c>
      <c r="V377" s="232" t="str">
        <f t="shared" si="104"/>
        <v>CO-DC</v>
      </c>
      <c r="W377" s="243" t="str">
        <f t="shared" si="105"/>
        <v>Distrito Capital de Bogotá</v>
      </c>
      <c r="X377" s="244" t="s">
        <v>383</v>
      </c>
      <c r="Y377" s="245">
        <v>2427400</v>
      </c>
      <c r="Z377" s="246" t="s">
        <v>384</v>
      </c>
    </row>
    <row r="378" spans="1:26" s="5" customFormat="1" ht="12.75" customHeight="1" x14ac:dyDescent="0.2">
      <c r="A378" s="231" t="s">
        <v>455</v>
      </c>
      <c r="B378" s="232">
        <v>8</v>
      </c>
      <c r="C378" s="233" t="s">
        <v>391</v>
      </c>
      <c r="D378" s="233" t="s">
        <v>381</v>
      </c>
      <c r="E378" s="234"/>
      <c r="F378" s="234">
        <v>50000000</v>
      </c>
      <c r="G378" s="234"/>
      <c r="H378" s="235" t="s">
        <v>203</v>
      </c>
      <c r="I378" s="236" t="s">
        <v>401</v>
      </c>
      <c r="J378" s="247">
        <v>8</v>
      </c>
      <c r="K378" s="248">
        <v>8</v>
      </c>
      <c r="L378" s="249">
        <v>4</v>
      </c>
      <c r="M378" s="232">
        <v>1</v>
      </c>
      <c r="N378" s="238" t="s">
        <v>54</v>
      </c>
      <c r="O378" s="239" t="s">
        <v>55</v>
      </c>
      <c r="P378" s="240">
        <v>1</v>
      </c>
      <c r="Q378" s="241">
        <f t="shared" ref="Q378:Q409" si="107">+E378+F378+G378</f>
        <v>50000000</v>
      </c>
      <c r="R378" s="241">
        <f t="shared" ref="R378:R409" si="108">+F378</f>
        <v>50000000</v>
      </c>
      <c r="S378" s="242" t="s">
        <v>56</v>
      </c>
      <c r="T378" s="238">
        <v>0</v>
      </c>
      <c r="U378" s="243" t="str">
        <f t="shared" si="103"/>
        <v>SUBDIRECCION DE GESTION CONTRACTUAL</v>
      </c>
      <c r="V378" s="232" t="str">
        <f t="shared" si="104"/>
        <v>CO-DC</v>
      </c>
      <c r="W378" s="243" t="str">
        <f t="shared" si="105"/>
        <v>Distrito Capital de Bogotá</v>
      </c>
      <c r="X378" s="244" t="s">
        <v>121</v>
      </c>
      <c r="Y378" s="232">
        <v>2427400</v>
      </c>
      <c r="Z378" s="246" t="s">
        <v>122</v>
      </c>
    </row>
    <row r="379" spans="1:26" s="5" customFormat="1" ht="12.75" hidden="1" customHeight="1" x14ac:dyDescent="0.2">
      <c r="A379" s="90" t="s">
        <v>456</v>
      </c>
      <c r="B379" s="91">
        <v>1</v>
      </c>
      <c r="C379" s="92" t="s">
        <v>457</v>
      </c>
      <c r="D379" s="168" t="s">
        <v>458</v>
      </c>
      <c r="E379" s="93"/>
      <c r="F379" s="93">
        <f>8521050000-215000000-100000000+1040000000</f>
        <v>9246050000</v>
      </c>
      <c r="G379" s="93"/>
      <c r="H379" s="94">
        <v>80111600</v>
      </c>
      <c r="I379" s="141" t="s">
        <v>459</v>
      </c>
      <c r="J379" s="124">
        <v>1</v>
      </c>
      <c r="K379" s="124">
        <v>1</v>
      </c>
      <c r="L379" s="124">
        <v>12</v>
      </c>
      <c r="M379" s="91">
        <f>IF(ISBLANK(J379),"",1)</f>
        <v>1</v>
      </c>
      <c r="N379" s="98" t="s">
        <v>54</v>
      </c>
      <c r="O379" s="99" t="s">
        <v>55</v>
      </c>
      <c r="P379" s="100">
        <f t="shared" ref="P379:P425" si="109">IF(ISBLANK(N379),"",1)</f>
        <v>1</v>
      </c>
      <c r="Q379" s="101">
        <f t="shared" si="107"/>
        <v>9246050000</v>
      </c>
      <c r="R379" s="101">
        <f t="shared" si="108"/>
        <v>9246050000</v>
      </c>
      <c r="S379" s="102" t="s">
        <v>56</v>
      </c>
      <c r="T379" s="98">
        <f t="shared" ref="T379:T425" si="110">IF(ISBLANK(S379),"",IF(VALUE(S379)=0,0,IF(VALUE(S379)=1,3,"")))</f>
        <v>0</v>
      </c>
      <c r="U379" s="27" t="str">
        <f t="shared" si="103"/>
        <v>SUBDIRECCION DE GESTION CONTRACTUAL</v>
      </c>
      <c r="V379" s="91" t="str">
        <f t="shared" si="104"/>
        <v>CO-DC</v>
      </c>
      <c r="W379" s="27" t="str">
        <f t="shared" si="105"/>
        <v>Distrito Capital de Bogotá</v>
      </c>
      <c r="X379" s="103" t="s">
        <v>460</v>
      </c>
      <c r="Y379" s="91">
        <v>2427400</v>
      </c>
      <c r="Z379" s="105" t="s">
        <v>461</v>
      </c>
    </row>
    <row r="380" spans="1:26" s="5" customFormat="1" ht="12.75" hidden="1" customHeight="1" x14ac:dyDescent="0.2">
      <c r="A380" s="90" t="s">
        <v>456</v>
      </c>
      <c r="B380" s="91">
        <v>2</v>
      </c>
      <c r="C380" s="92" t="s">
        <v>457</v>
      </c>
      <c r="D380" s="168" t="s">
        <v>458</v>
      </c>
      <c r="E380" s="93"/>
      <c r="F380" s="93">
        <v>1200000000</v>
      </c>
      <c r="G380" s="93"/>
      <c r="H380" s="94" t="s">
        <v>67</v>
      </c>
      <c r="I380" s="76" t="s">
        <v>462</v>
      </c>
      <c r="J380" s="95">
        <v>2</v>
      </c>
      <c r="K380" s="96">
        <v>3</v>
      </c>
      <c r="L380" s="97">
        <v>9</v>
      </c>
      <c r="M380" s="91">
        <f>IF(ISBLANK(J380),"",1)</f>
        <v>1</v>
      </c>
      <c r="N380" s="98" t="s">
        <v>69</v>
      </c>
      <c r="O380" s="99" t="s">
        <v>70</v>
      </c>
      <c r="P380" s="100">
        <f t="shared" si="109"/>
        <v>1</v>
      </c>
      <c r="Q380" s="101">
        <f t="shared" si="107"/>
        <v>1200000000</v>
      </c>
      <c r="R380" s="101">
        <f t="shared" si="108"/>
        <v>1200000000</v>
      </c>
      <c r="S380" s="102" t="s">
        <v>56</v>
      </c>
      <c r="T380" s="98">
        <f t="shared" si="110"/>
        <v>0</v>
      </c>
      <c r="U380" s="27" t="str">
        <f t="shared" si="103"/>
        <v>SUBDIRECCION DE GESTION CONTRACTUAL</v>
      </c>
      <c r="V380" s="91" t="str">
        <f t="shared" si="104"/>
        <v>CO-DC</v>
      </c>
      <c r="W380" s="27" t="str">
        <f t="shared" si="105"/>
        <v>Distrito Capital de Bogotá</v>
      </c>
      <c r="X380" s="103" t="s">
        <v>460</v>
      </c>
      <c r="Y380" s="91">
        <v>2427400</v>
      </c>
      <c r="Z380" s="105" t="s">
        <v>461</v>
      </c>
    </row>
    <row r="381" spans="1:26" s="5" customFormat="1" ht="12.75" hidden="1" customHeight="1" x14ac:dyDescent="0.2">
      <c r="A381" s="90" t="s">
        <v>456</v>
      </c>
      <c r="B381" s="91">
        <v>3</v>
      </c>
      <c r="C381" s="92" t="s">
        <v>457</v>
      </c>
      <c r="D381" s="168" t="s">
        <v>458</v>
      </c>
      <c r="E381" s="93">
        <v>29702409.983999997</v>
      </c>
      <c r="F381" s="93">
        <f>445000000+10000000</f>
        <v>455000000</v>
      </c>
      <c r="G381" s="93"/>
      <c r="H381" s="94" t="s">
        <v>59</v>
      </c>
      <c r="I381" s="76" t="s">
        <v>463</v>
      </c>
      <c r="J381" s="95">
        <v>3</v>
      </c>
      <c r="K381" s="96">
        <v>4</v>
      </c>
      <c r="L381" s="97">
        <v>9</v>
      </c>
      <c r="M381" s="91">
        <f>IF(ISBLANK(J381),"",1)</f>
        <v>1</v>
      </c>
      <c r="N381" s="98" t="s">
        <v>61</v>
      </c>
      <c r="O381" s="99" t="s">
        <v>62</v>
      </c>
      <c r="P381" s="100">
        <f t="shared" si="109"/>
        <v>1</v>
      </c>
      <c r="Q381" s="101">
        <f t="shared" si="107"/>
        <v>484702409.98399997</v>
      </c>
      <c r="R381" s="101">
        <f t="shared" si="108"/>
        <v>455000000</v>
      </c>
      <c r="S381" s="102" t="s">
        <v>56</v>
      </c>
      <c r="T381" s="98">
        <f t="shared" si="110"/>
        <v>0</v>
      </c>
      <c r="U381" s="27" t="str">
        <f t="shared" si="103"/>
        <v>SUBDIRECCION DE GESTION CONTRACTUAL</v>
      </c>
      <c r="V381" s="91" t="str">
        <f t="shared" si="104"/>
        <v>CO-DC</v>
      </c>
      <c r="W381" s="27" t="str">
        <f t="shared" si="105"/>
        <v>Distrito Capital de Bogotá</v>
      </c>
      <c r="X381" s="103" t="s">
        <v>460</v>
      </c>
      <c r="Y381" s="91">
        <v>2427400</v>
      </c>
      <c r="Z381" s="105" t="s">
        <v>461</v>
      </c>
    </row>
    <row r="382" spans="1:26" s="5" customFormat="1" ht="12.75" hidden="1" customHeight="1" x14ac:dyDescent="0.2">
      <c r="A382" s="90" t="s">
        <v>456</v>
      </c>
      <c r="B382" s="91">
        <v>4</v>
      </c>
      <c r="C382" s="92" t="s">
        <v>457</v>
      </c>
      <c r="D382" s="168" t="s">
        <v>458</v>
      </c>
      <c r="E382" s="93"/>
      <c r="F382" s="93">
        <v>75000000</v>
      </c>
      <c r="G382" s="93"/>
      <c r="H382" s="94" t="s">
        <v>203</v>
      </c>
      <c r="I382" s="76" t="s">
        <v>464</v>
      </c>
      <c r="J382" s="95">
        <v>8</v>
      </c>
      <c r="K382" s="96" t="s">
        <v>171</v>
      </c>
      <c r="L382" s="97">
        <v>4</v>
      </c>
      <c r="M382" s="158">
        <v>1</v>
      </c>
      <c r="N382" s="127" t="s">
        <v>54</v>
      </c>
      <c r="O382" s="99" t="s">
        <v>55</v>
      </c>
      <c r="P382" s="100">
        <f t="shared" si="109"/>
        <v>1</v>
      </c>
      <c r="Q382" s="101">
        <f t="shared" si="107"/>
        <v>75000000</v>
      </c>
      <c r="R382" s="101">
        <f t="shared" si="108"/>
        <v>75000000</v>
      </c>
      <c r="S382" s="102" t="s">
        <v>56</v>
      </c>
      <c r="T382" s="98">
        <f t="shared" si="110"/>
        <v>0</v>
      </c>
      <c r="U382" s="27" t="str">
        <f t="shared" si="103"/>
        <v>SUBDIRECCION DE GESTION CONTRACTUAL</v>
      </c>
      <c r="V382" s="91" t="str">
        <f t="shared" si="104"/>
        <v>CO-DC</v>
      </c>
      <c r="W382" s="27" t="str">
        <f t="shared" si="105"/>
        <v>Distrito Capital de Bogotá</v>
      </c>
      <c r="X382" s="103" t="s">
        <v>121</v>
      </c>
      <c r="Y382" s="91">
        <v>2427400</v>
      </c>
      <c r="Z382" s="105" t="s">
        <v>122</v>
      </c>
    </row>
    <row r="383" spans="1:26" s="5" customFormat="1" ht="12.75" hidden="1" customHeight="1" x14ac:dyDescent="0.2">
      <c r="A383" s="90" t="s">
        <v>456</v>
      </c>
      <c r="B383" s="91">
        <v>5</v>
      </c>
      <c r="C383" s="92" t="s">
        <v>457</v>
      </c>
      <c r="D383" s="168" t="s">
        <v>458</v>
      </c>
      <c r="E383" s="93"/>
      <c r="F383" s="93">
        <f>1250000000-10000000-1240000000</f>
        <v>0</v>
      </c>
      <c r="G383" s="93"/>
      <c r="H383" s="94" t="s">
        <v>465</v>
      </c>
      <c r="I383" s="76" t="s">
        <v>466</v>
      </c>
      <c r="J383" s="124">
        <v>6</v>
      </c>
      <c r="K383" s="124">
        <v>6</v>
      </c>
      <c r="L383" s="124">
        <v>6</v>
      </c>
      <c r="M383" s="91">
        <f t="shared" ref="M383:M399" si="111">IF(ISBLANK(J383),"",1)</f>
        <v>1</v>
      </c>
      <c r="N383" s="98" t="s">
        <v>64</v>
      </c>
      <c r="O383" s="99" t="s">
        <v>65</v>
      </c>
      <c r="P383" s="100">
        <f t="shared" si="109"/>
        <v>1</v>
      </c>
      <c r="Q383" s="101">
        <f t="shared" si="107"/>
        <v>0</v>
      </c>
      <c r="R383" s="101">
        <f t="shared" si="108"/>
        <v>0</v>
      </c>
      <c r="S383" s="102" t="s">
        <v>56</v>
      </c>
      <c r="T383" s="98">
        <f t="shared" si="110"/>
        <v>0</v>
      </c>
      <c r="U383" s="27" t="str">
        <f t="shared" si="103"/>
        <v>SUBDIRECCION DE GESTION CONTRACTUAL</v>
      </c>
      <c r="V383" s="91" t="str">
        <f t="shared" si="104"/>
        <v>CO-DC</v>
      </c>
      <c r="W383" s="27" t="str">
        <f t="shared" si="105"/>
        <v>Distrito Capital de Bogotá</v>
      </c>
      <c r="X383" s="103" t="s">
        <v>460</v>
      </c>
      <c r="Y383" s="91">
        <v>2427400</v>
      </c>
      <c r="Z383" s="105" t="s">
        <v>461</v>
      </c>
    </row>
    <row r="384" spans="1:26" s="5" customFormat="1" ht="12.75" hidden="1" customHeight="1" x14ac:dyDescent="0.2">
      <c r="A384" s="90" t="s">
        <v>456</v>
      </c>
      <c r="B384" s="91">
        <v>6</v>
      </c>
      <c r="C384" s="92" t="s">
        <v>457</v>
      </c>
      <c r="D384" s="168" t="s">
        <v>458</v>
      </c>
      <c r="E384" s="93"/>
      <c r="F384" s="93">
        <v>100000000</v>
      </c>
      <c r="G384" s="93"/>
      <c r="H384" s="94" t="s">
        <v>467</v>
      </c>
      <c r="I384" s="76" t="s">
        <v>468</v>
      </c>
      <c r="J384" s="124">
        <v>7</v>
      </c>
      <c r="K384" s="124">
        <v>9</v>
      </c>
      <c r="L384" s="124">
        <v>3</v>
      </c>
      <c r="M384" s="91">
        <f t="shared" si="111"/>
        <v>1</v>
      </c>
      <c r="N384" s="98" t="s">
        <v>61</v>
      </c>
      <c r="O384" s="99" t="s">
        <v>62</v>
      </c>
      <c r="P384" s="100">
        <f t="shared" si="109"/>
        <v>1</v>
      </c>
      <c r="Q384" s="101">
        <f t="shared" si="107"/>
        <v>100000000</v>
      </c>
      <c r="R384" s="101">
        <f t="shared" si="108"/>
        <v>100000000</v>
      </c>
      <c r="S384" s="102" t="s">
        <v>56</v>
      </c>
      <c r="T384" s="98">
        <f t="shared" si="110"/>
        <v>0</v>
      </c>
      <c r="U384" s="27" t="str">
        <f t="shared" si="103"/>
        <v>SUBDIRECCION DE GESTION CONTRACTUAL</v>
      </c>
      <c r="V384" s="91" t="str">
        <f t="shared" si="104"/>
        <v>CO-DC</v>
      </c>
      <c r="W384" s="27" t="str">
        <f t="shared" si="105"/>
        <v>Distrito Capital de Bogotá</v>
      </c>
      <c r="X384" s="103" t="s">
        <v>469</v>
      </c>
      <c r="Y384" s="91">
        <v>2427400</v>
      </c>
      <c r="Z384" s="105" t="s">
        <v>330</v>
      </c>
    </row>
    <row r="385" spans="1:26" s="5" customFormat="1" ht="12.75" hidden="1" customHeight="1" x14ac:dyDescent="0.2">
      <c r="A385" s="90" t="s">
        <v>456</v>
      </c>
      <c r="B385" s="91">
        <v>7</v>
      </c>
      <c r="C385" s="92" t="s">
        <v>457</v>
      </c>
      <c r="D385" s="168" t="s">
        <v>458</v>
      </c>
      <c r="E385" s="93"/>
      <c r="F385" s="93">
        <v>15000000</v>
      </c>
      <c r="G385" s="93"/>
      <c r="H385" s="94" t="s">
        <v>331</v>
      </c>
      <c r="I385" s="76" t="s">
        <v>470</v>
      </c>
      <c r="J385" s="95">
        <v>10</v>
      </c>
      <c r="K385" s="124">
        <v>10</v>
      </c>
      <c r="L385" s="97">
        <v>1</v>
      </c>
      <c r="M385" s="91">
        <f t="shared" si="111"/>
        <v>1</v>
      </c>
      <c r="N385" s="98" t="s">
        <v>100</v>
      </c>
      <c r="O385" s="99" t="s">
        <v>105</v>
      </c>
      <c r="P385" s="100">
        <f t="shared" si="109"/>
        <v>1</v>
      </c>
      <c r="Q385" s="101">
        <f t="shared" si="107"/>
        <v>15000000</v>
      </c>
      <c r="R385" s="101">
        <f t="shared" si="108"/>
        <v>15000000</v>
      </c>
      <c r="S385" s="102" t="s">
        <v>56</v>
      </c>
      <c r="T385" s="98">
        <f t="shared" si="110"/>
        <v>0</v>
      </c>
      <c r="U385" s="27" t="str">
        <f t="shared" si="103"/>
        <v>SUBDIRECCION DE GESTION CONTRACTUAL</v>
      </c>
      <c r="V385" s="91" t="str">
        <f t="shared" si="104"/>
        <v>CO-DC</v>
      </c>
      <c r="W385" s="27" t="str">
        <f t="shared" si="105"/>
        <v>Distrito Capital de Bogotá</v>
      </c>
      <c r="X385" s="103" t="s">
        <v>196</v>
      </c>
      <c r="Y385" s="91">
        <v>2427400</v>
      </c>
      <c r="Z385" s="105" t="s">
        <v>197</v>
      </c>
    </row>
    <row r="386" spans="1:26" s="5" customFormat="1" ht="12.75" hidden="1" customHeight="1" x14ac:dyDescent="0.2">
      <c r="A386" s="90" t="s">
        <v>456</v>
      </c>
      <c r="B386" s="91">
        <v>8</v>
      </c>
      <c r="C386" s="92" t="s">
        <v>471</v>
      </c>
      <c r="D386" s="168" t="s">
        <v>458</v>
      </c>
      <c r="E386" s="93"/>
      <c r="F386" s="93">
        <v>28000000000</v>
      </c>
      <c r="G386" s="93"/>
      <c r="H386" s="94" t="s">
        <v>465</v>
      </c>
      <c r="I386" s="76" t="s">
        <v>472</v>
      </c>
      <c r="J386" s="124">
        <v>5</v>
      </c>
      <c r="K386" s="124">
        <v>6</v>
      </c>
      <c r="L386" s="124">
        <v>6</v>
      </c>
      <c r="M386" s="91">
        <f t="shared" si="111"/>
        <v>1</v>
      </c>
      <c r="N386" s="98" t="s">
        <v>64</v>
      </c>
      <c r="O386" s="99" t="s">
        <v>65</v>
      </c>
      <c r="P386" s="100">
        <f t="shared" si="109"/>
        <v>1</v>
      </c>
      <c r="Q386" s="101">
        <f t="shared" si="107"/>
        <v>28000000000</v>
      </c>
      <c r="R386" s="101">
        <f t="shared" si="108"/>
        <v>28000000000</v>
      </c>
      <c r="S386" s="102" t="s">
        <v>56</v>
      </c>
      <c r="T386" s="98">
        <f t="shared" si="110"/>
        <v>0</v>
      </c>
      <c r="U386" s="27" t="str">
        <f t="shared" si="103"/>
        <v>SUBDIRECCION DE GESTION CONTRACTUAL</v>
      </c>
      <c r="V386" s="91" t="str">
        <f t="shared" si="104"/>
        <v>CO-DC</v>
      </c>
      <c r="W386" s="27" t="str">
        <f t="shared" si="105"/>
        <v>Distrito Capital de Bogotá</v>
      </c>
      <c r="X386" s="103" t="s">
        <v>460</v>
      </c>
      <c r="Y386" s="91">
        <v>2427400</v>
      </c>
      <c r="Z386" s="105" t="s">
        <v>461</v>
      </c>
    </row>
    <row r="387" spans="1:26" s="5" customFormat="1" ht="12.75" hidden="1" customHeight="1" x14ac:dyDescent="0.2">
      <c r="A387" s="90" t="s">
        <v>456</v>
      </c>
      <c r="B387" s="91">
        <v>9</v>
      </c>
      <c r="C387" s="92" t="s">
        <v>473</v>
      </c>
      <c r="D387" s="92" t="s">
        <v>474</v>
      </c>
      <c r="E387" s="93"/>
      <c r="F387" s="93">
        <f>2257136244+215000000</f>
        <v>2472136244</v>
      </c>
      <c r="G387" s="93"/>
      <c r="H387" s="94">
        <v>80111600</v>
      </c>
      <c r="I387" s="76" t="s">
        <v>459</v>
      </c>
      <c r="J387" s="124">
        <v>1</v>
      </c>
      <c r="K387" s="124">
        <v>1</v>
      </c>
      <c r="L387" s="124">
        <v>12</v>
      </c>
      <c r="M387" s="91">
        <f t="shared" si="111"/>
        <v>1</v>
      </c>
      <c r="N387" s="98" t="s">
        <v>54</v>
      </c>
      <c r="O387" s="99" t="s">
        <v>55</v>
      </c>
      <c r="P387" s="100">
        <f t="shared" si="109"/>
        <v>1</v>
      </c>
      <c r="Q387" s="101">
        <f t="shared" si="107"/>
        <v>2472136244</v>
      </c>
      <c r="R387" s="101">
        <f t="shared" si="108"/>
        <v>2472136244</v>
      </c>
      <c r="S387" s="102" t="s">
        <v>56</v>
      </c>
      <c r="T387" s="98">
        <f t="shared" si="110"/>
        <v>0</v>
      </c>
      <c r="U387" s="27" t="str">
        <f t="shared" si="103"/>
        <v>SUBDIRECCION DE GESTION CONTRACTUAL</v>
      </c>
      <c r="V387" s="91" t="str">
        <f t="shared" si="104"/>
        <v>CO-DC</v>
      </c>
      <c r="W387" s="27" t="str">
        <f t="shared" si="105"/>
        <v>Distrito Capital de Bogotá</v>
      </c>
      <c r="X387" s="103" t="s">
        <v>460</v>
      </c>
      <c r="Y387" s="91">
        <v>2427400</v>
      </c>
      <c r="Z387" s="105" t="s">
        <v>461</v>
      </c>
    </row>
    <row r="388" spans="1:26" s="5" customFormat="1" ht="12.75" hidden="1" customHeight="1" x14ac:dyDescent="0.2">
      <c r="A388" s="90" t="s">
        <v>456</v>
      </c>
      <c r="B388" s="91">
        <v>10</v>
      </c>
      <c r="C388" s="92" t="s">
        <v>473</v>
      </c>
      <c r="D388" s="92" t="s">
        <v>474</v>
      </c>
      <c r="E388" s="93"/>
      <c r="F388" s="93">
        <f>80000000-80000000</f>
        <v>0</v>
      </c>
      <c r="G388" s="93"/>
      <c r="H388" s="94" t="s">
        <v>67</v>
      </c>
      <c r="I388" s="76" t="s">
        <v>475</v>
      </c>
      <c r="J388" s="124">
        <v>1</v>
      </c>
      <c r="K388" s="124">
        <v>2</v>
      </c>
      <c r="L388" s="124">
        <v>3</v>
      </c>
      <c r="M388" s="91">
        <f t="shared" si="111"/>
        <v>1</v>
      </c>
      <c r="N388" s="98" t="s">
        <v>64</v>
      </c>
      <c r="O388" s="99" t="s">
        <v>65</v>
      </c>
      <c r="P388" s="100">
        <f t="shared" si="109"/>
        <v>1</v>
      </c>
      <c r="Q388" s="101">
        <f t="shared" si="107"/>
        <v>0</v>
      </c>
      <c r="R388" s="101">
        <f t="shared" si="108"/>
        <v>0</v>
      </c>
      <c r="S388" s="102" t="s">
        <v>56</v>
      </c>
      <c r="T388" s="98">
        <f t="shared" si="110"/>
        <v>0</v>
      </c>
      <c r="U388" s="27" t="str">
        <f t="shared" si="103"/>
        <v>SUBDIRECCION DE GESTION CONTRACTUAL</v>
      </c>
      <c r="V388" s="91" t="str">
        <f t="shared" si="104"/>
        <v>CO-DC</v>
      </c>
      <c r="W388" s="27" t="str">
        <f t="shared" si="105"/>
        <v>Distrito Capital de Bogotá</v>
      </c>
      <c r="X388" s="103" t="s">
        <v>460</v>
      </c>
      <c r="Y388" s="91">
        <v>2427400</v>
      </c>
      <c r="Z388" s="105" t="s">
        <v>461</v>
      </c>
    </row>
    <row r="389" spans="1:26" s="5" customFormat="1" ht="12.75" hidden="1" customHeight="1" x14ac:dyDescent="0.2">
      <c r="A389" s="90" t="s">
        <v>456</v>
      </c>
      <c r="B389" s="91">
        <v>11</v>
      </c>
      <c r="C389" s="92" t="s">
        <v>473</v>
      </c>
      <c r="D389" s="92" t="s">
        <v>474</v>
      </c>
      <c r="E389" s="93"/>
      <c r="F389" s="93">
        <f>295000000-80000000-215000000</f>
        <v>0</v>
      </c>
      <c r="G389" s="93"/>
      <c r="H389" s="94" t="s">
        <v>67</v>
      </c>
      <c r="I389" s="76" t="s">
        <v>475</v>
      </c>
      <c r="J389" s="95">
        <v>2</v>
      </c>
      <c r="K389" s="96">
        <v>3</v>
      </c>
      <c r="L389" s="97">
        <v>9</v>
      </c>
      <c r="M389" s="91">
        <f t="shared" si="111"/>
        <v>1</v>
      </c>
      <c r="N389" s="98" t="s">
        <v>69</v>
      </c>
      <c r="O389" s="99" t="s">
        <v>70</v>
      </c>
      <c r="P389" s="100">
        <f t="shared" si="109"/>
        <v>1</v>
      </c>
      <c r="Q389" s="101">
        <f t="shared" si="107"/>
        <v>0</v>
      </c>
      <c r="R389" s="101">
        <f t="shared" si="108"/>
        <v>0</v>
      </c>
      <c r="S389" s="102" t="s">
        <v>56</v>
      </c>
      <c r="T389" s="98">
        <f t="shared" si="110"/>
        <v>0</v>
      </c>
      <c r="U389" s="27" t="str">
        <f t="shared" si="103"/>
        <v>SUBDIRECCION DE GESTION CONTRACTUAL</v>
      </c>
      <c r="V389" s="91" t="str">
        <f t="shared" si="104"/>
        <v>CO-DC</v>
      </c>
      <c r="W389" s="27" t="str">
        <f t="shared" si="105"/>
        <v>Distrito Capital de Bogotá</v>
      </c>
      <c r="X389" s="103" t="s">
        <v>460</v>
      </c>
      <c r="Y389" s="91">
        <v>2427400</v>
      </c>
      <c r="Z389" s="105" t="s">
        <v>461</v>
      </c>
    </row>
    <row r="390" spans="1:26" s="5" customFormat="1" ht="12.75" hidden="1" customHeight="1" x14ac:dyDescent="0.2">
      <c r="A390" s="90" t="s">
        <v>456</v>
      </c>
      <c r="B390" s="91">
        <v>12</v>
      </c>
      <c r="C390" s="92" t="s">
        <v>473</v>
      </c>
      <c r="D390" s="92" t="s">
        <v>474</v>
      </c>
      <c r="E390" s="93"/>
      <c r="F390" s="93">
        <f>100000000-100000000</f>
        <v>0</v>
      </c>
      <c r="G390" s="93"/>
      <c r="H390" s="94">
        <v>93121607</v>
      </c>
      <c r="I390" s="76" t="s">
        <v>476</v>
      </c>
      <c r="J390" s="124">
        <v>6</v>
      </c>
      <c r="K390" s="124">
        <v>6</v>
      </c>
      <c r="L390" s="124">
        <v>6</v>
      </c>
      <c r="M390" s="91">
        <f t="shared" si="111"/>
        <v>1</v>
      </c>
      <c r="N390" s="98" t="s">
        <v>64</v>
      </c>
      <c r="O390" s="99" t="s">
        <v>65</v>
      </c>
      <c r="P390" s="100">
        <f t="shared" si="109"/>
        <v>1</v>
      </c>
      <c r="Q390" s="101">
        <f t="shared" si="107"/>
        <v>0</v>
      </c>
      <c r="R390" s="101">
        <f t="shared" si="108"/>
        <v>0</v>
      </c>
      <c r="S390" s="102" t="s">
        <v>56</v>
      </c>
      <c r="T390" s="98">
        <f t="shared" si="110"/>
        <v>0</v>
      </c>
      <c r="U390" s="27" t="str">
        <f t="shared" si="103"/>
        <v>SUBDIRECCION DE GESTION CONTRACTUAL</v>
      </c>
      <c r="V390" s="91" t="str">
        <f t="shared" si="104"/>
        <v>CO-DC</v>
      </c>
      <c r="W390" s="27" t="str">
        <f t="shared" si="105"/>
        <v>Distrito Capital de Bogotá</v>
      </c>
      <c r="X390" s="103" t="s">
        <v>460</v>
      </c>
      <c r="Y390" s="91">
        <v>2427400</v>
      </c>
      <c r="Z390" s="105" t="s">
        <v>461</v>
      </c>
    </row>
    <row r="391" spans="1:26" s="5" customFormat="1" ht="12.75" hidden="1" customHeight="1" x14ac:dyDescent="0.2">
      <c r="A391" s="90" t="s">
        <v>456</v>
      </c>
      <c r="B391" s="91">
        <v>13</v>
      </c>
      <c r="C391" s="92" t="s">
        <v>473</v>
      </c>
      <c r="D391" s="92" t="s">
        <v>474</v>
      </c>
      <c r="E391" s="93"/>
      <c r="F391" s="93">
        <v>100000000</v>
      </c>
      <c r="G391" s="93"/>
      <c r="H391" s="94" t="s">
        <v>59</v>
      </c>
      <c r="I391" s="76" t="s">
        <v>463</v>
      </c>
      <c r="J391" s="95">
        <v>3</v>
      </c>
      <c r="K391" s="96">
        <v>4</v>
      </c>
      <c r="L391" s="97">
        <v>9</v>
      </c>
      <c r="M391" s="91">
        <f t="shared" si="111"/>
        <v>1</v>
      </c>
      <c r="N391" s="98" t="s">
        <v>61</v>
      </c>
      <c r="O391" s="99" t="s">
        <v>62</v>
      </c>
      <c r="P391" s="100">
        <f t="shared" si="109"/>
        <v>1</v>
      </c>
      <c r="Q391" s="101">
        <f t="shared" si="107"/>
        <v>100000000</v>
      </c>
      <c r="R391" s="101">
        <f t="shared" si="108"/>
        <v>100000000</v>
      </c>
      <c r="S391" s="102" t="s">
        <v>56</v>
      </c>
      <c r="T391" s="98">
        <f t="shared" si="110"/>
        <v>0</v>
      </c>
      <c r="U391" s="27" t="str">
        <f t="shared" si="103"/>
        <v>SUBDIRECCION DE GESTION CONTRACTUAL</v>
      </c>
      <c r="V391" s="91" t="str">
        <f t="shared" si="104"/>
        <v>CO-DC</v>
      </c>
      <c r="W391" s="27" t="str">
        <f t="shared" si="105"/>
        <v>Distrito Capital de Bogotá</v>
      </c>
      <c r="X391" s="103" t="s">
        <v>460</v>
      </c>
      <c r="Y391" s="91">
        <v>2427400</v>
      </c>
      <c r="Z391" s="105" t="s">
        <v>461</v>
      </c>
    </row>
    <row r="392" spans="1:26" s="5" customFormat="1" ht="12.75" hidden="1" customHeight="1" x14ac:dyDescent="0.2">
      <c r="A392" s="90" t="s">
        <v>456</v>
      </c>
      <c r="B392" s="91">
        <v>14</v>
      </c>
      <c r="C392" s="92" t="s">
        <v>477</v>
      </c>
      <c r="D392" s="92" t="s">
        <v>478</v>
      </c>
      <c r="E392" s="93"/>
      <c r="F392" s="93">
        <f>890000000-890000000</f>
        <v>0</v>
      </c>
      <c r="G392" s="93"/>
      <c r="H392" s="94">
        <v>80111600</v>
      </c>
      <c r="I392" s="141" t="s">
        <v>459</v>
      </c>
      <c r="J392" s="124">
        <v>1</v>
      </c>
      <c r="K392" s="124">
        <v>1</v>
      </c>
      <c r="L392" s="124">
        <v>12</v>
      </c>
      <c r="M392" s="91">
        <f t="shared" si="111"/>
        <v>1</v>
      </c>
      <c r="N392" s="98" t="s">
        <v>54</v>
      </c>
      <c r="O392" s="99" t="s">
        <v>55</v>
      </c>
      <c r="P392" s="100">
        <f t="shared" si="109"/>
        <v>1</v>
      </c>
      <c r="Q392" s="101">
        <f t="shared" si="107"/>
        <v>0</v>
      </c>
      <c r="R392" s="101">
        <f t="shared" si="108"/>
        <v>0</v>
      </c>
      <c r="S392" s="102" t="s">
        <v>56</v>
      </c>
      <c r="T392" s="98">
        <f t="shared" si="110"/>
        <v>0</v>
      </c>
      <c r="U392" s="27" t="str">
        <f t="shared" si="103"/>
        <v>SUBDIRECCION DE GESTION CONTRACTUAL</v>
      </c>
      <c r="V392" s="91" t="str">
        <f t="shared" si="104"/>
        <v>CO-DC</v>
      </c>
      <c r="W392" s="27" t="str">
        <f t="shared" si="105"/>
        <v>Distrito Capital de Bogotá</v>
      </c>
      <c r="X392" s="103" t="s">
        <v>460</v>
      </c>
      <c r="Y392" s="91">
        <v>2427400</v>
      </c>
      <c r="Z392" s="105" t="s">
        <v>461</v>
      </c>
    </row>
    <row r="393" spans="1:26" s="5" customFormat="1" ht="12.75" hidden="1" customHeight="1" x14ac:dyDescent="0.2">
      <c r="A393" s="90" t="s">
        <v>456</v>
      </c>
      <c r="B393" s="91">
        <v>15</v>
      </c>
      <c r="C393" s="92" t="s">
        <v>477</v>
      </c>
      <c r="D393" s="92" t="s">
        <v>478</v>
      </c>
      <c r="E393" s="93"/>
      <c r="F393" s="93">
        <f>150000000-150000000</f>
        <v>0</v>
      </c>
      <c r="G393" s="93"/>
      <c r="H393" s="94" t="s">
        <v>67</v>
      </c>
      <c r="I393" s="76" t="s">
        <v>475</v>
      </c>
      <c r="J393" s="95">
        <v>2</v>
      </c>
      <c r="K393" s="96">
        <v>3</v>
      </c>
      <c r="L393" s="97">
        <v>9</v>
      </c>
      <c r="M393" s="91">
        <f t="shared" si="111"/>
        <v>1</v>
      </c>
      <c r="N393" s="98" t="s">
        <v>69</v>
      </c>
      <c r="O393" s="99" t="s">
        <v>70</v>
      </c>
      <c r="P393" s="100">
        <f t="shared" si="109"/>
        <v>1</v>
      </c>
      <c r="Q393" s="101">
        <f t="shared" si="107"/>
        <v>0</v>
      </c>
      <c r="R393" s="101">
        <f t="shared" si="108"/>
        <v>0</v>
      </c>
      <c r="S393" s="102" t="s">
        <v>56</v>
      </c>
      <c r="T393" s="98">
        <f t="shared" si="110"/>
        <v>0</v>
      </c>
      <c r="U393" s="27" t="str">
        <f t="shared" si="103"/>
        <v>SUBDIRECCION DE GESTION CONTRACTUAL</v>
      </c>
      <c r="V393" s="91" t="str">
        <f t="shared" si="104"/>
        <v>CO-DC</v>
      </c>
      <c r="W393" s="27" t="str">
        <f t="shared" si="105"/>
        <v>Distrito Capital de Bogotá</v>
      </c>
      <c r="X393" s="103" t="s">
        <v>460</v>
      </c>
      <c r="Y393" s="91">
        <v>2427400</v>
      </c>
      <c r="Z393" s="105" t="s">
        <v>461</v>
      </c>
    </row>
    <row r="394" spans="1:26" s="5" customFormat="1" ht="12.75" hidden="1" customHeight="1" x14ac:dyDescent="0.2">
      <c r="A394" s="90" t="s">
        <v>456</v>
      </c>
      <c r="B394" s="91">
        <v>16</v>
      </c>
      <c r="C394" s="92" t="s">
        <v>477</v>
      </c>
      <c r="D394" s="92" t="s">
        <v>478</v>
      </c>
      <c r="E394" s="93"/>
      <c r="F394" s="93">
        <f>100000000-100000000</f>
        <v>0</v>
      </c>
      <c r="G394" s="93"/>
      <c r="H394" s="94" t="s">
        <v>59</v>
      </c>
      <c r="I394" s="76" t="s">
        <v>463</v>
      </c>
      <c r="J394" s="95">
        <v>3</v>
      </c>
      <c r="K394" s="96">
        <v>4</v>
      </c>
      <c r="L394" s="97">
        <v>9</v>
      </c>
      <c r="M394" s="91">
        <f t="shared" si="111"/>
        <v>1</v>
      </c>
      <c r="N394" s="98" t="s">
        <v>61</v>
      </c>
      <c r="O394" s="99" t="s">
        <v>62</v>
      </c>
      <c r="P394" s="100">
        <f t="shared" si="109"/>
        <v>1</v>
      </c>
      <c r="Q394" s="101">
        <f t="shared" si="107"/>
        <v>0</v>
      </c>
      <c r="R394" s="101">
        <f t="shared" si="108"/>
        <v>0</v>
      </c>
      <c r="S394" s="102" t="s">
        <v>56</v>
      </c>
      <c r="T394" s="98">
        <f t="shared" si="110"/>
        <v>0</v>
      </c>
      <c r="U394" s="27" t="str">
        <f t="shared" si="103"/>
        <v>SUBDIRECCION DE GESTION CONTRACTUAL</v>
      </c>
      <c r="V394" s="91" t="str">
        <f t="shared" si="104"/>
        <v>CO-DC</v>
      </c>
      <c r="W394" s="27" t="str">
        <f t="shared" si="105"/>
        <v>Distrito Capital de Bogotá</v>
      </c>
      <c r="X394" s="103" t="s">
        <v>460</v>
      </c>
      <c r="Y394" s="91">
        <v>2427400</v>
      </c>
      <c r="Z394" s="105" t="s">
        <v>461</v>
      </c>
    </row>
    <row r="395" spans="1:26" s="5" customFormat="1" ht="12.75" hidden="1" customHeight="1" x14ac:dyDescent="0.2">
      <c r="A395" s="90" t="s">
        <v>456</v>
      </c>
      <c r="B395" s="91">
        <v>17</v>
      </c>
      <c r="C395" s="92" t="s">
        <v>477</v>
      </c>
      <c r="D395" s="92" t="s">
        <v>478</v>
      </c>
      <c r="E395" s="93"/>
      <c r="F395" s="93">
        <f>75000000-75000000</f>
        <v>0</v>
      </c>
      <c r="G395" s="93"/>
      <c r="H395" s="94" t="s">
        <v>203</v>
      </c>
      <c r="I395" s="76" t="s">
        <v>464</v>
      </c>
      <c r="J395" s="95">
        <v>2</v>
      </c>
      <c r="K395" s="96">
        <v>2</v>
      </c>
      <c r="L395" s="97">
        <v>10</v>
      </c>
      <c r="M395" s="91">
        <f t="shared" si="111"/>
        <v>1</v>
      </c>
      <c r="N395" s="98" t="s">
        <v>64</v>
      </c>
      <c r="O395" s="99" t="s">
        <v>65</v>
      </c>
      <c r="P395" s="100">
        <f t="shared" si="109"/>
        <v>1</v>
      </c>
      <c r="Q395" s="101">
        <f t="shared" si="107"/>
        <v>0</v>
      </c>
      <c r="R395" s="101">
        <f t="shared" si="108"/>
        <v>0</v>
      </c>
      <c r="S395" s="102" t="s">
        <v>56</v>
      </c>
      <c r="T395" s="98">
        <f t="shared" si="110"/>
        <v>0</v>
      </c>
      <c r="U395" s="27" t="str">
        <f t="shared" si="103"/>
        <v>SUBDIRECCION DE GESTION CONTRACTUAL</v>
      </c>
      <c r="V395" s="91" t="str">
        <f t="shared" si="104"/>
        <v>CO-DC</v>
      </c>
      <c r="W395" s="27" t="str">
        <f t="shared" si="105"/>
        <v>Distrito Capital de Bogotá</v>
      </c>
      <c r="X395" s="103" t="s">
        <v>121</v>
      </c>
      <c r="Y395" s="91">
        <v>2427400</v>
      </c>
      <c r="Z395" s="105" t="s">
        <v>122</v>
      </c>
    </row>
    <row r="396" spans="1:26" s="5" customFormat="1" ht="12.75" hidden="1" customHeight="1" x14ac:dyDescent="0.2">
      <c r="A396" s="90" t="s">
        <v>456</v>
      </c>
      <c r="B396" s="91">
        <v>18</v>
      </c>
      <c r="C396" s="92" t="s">
        <v>477</v>
      </c>
      <c r="D396" s="92" t="s">
        <v>478</v>
      </c>
      <c r="E396" s="93"/>
      <c r="F396" s="93">
        <f>200000000-200000000</f>
        <v>0</v>
      </c>
      <c r="G396" s="93"/>
      <c r="H396" s="94" t="s">
        <v>71</v>
      </c>
      <c r="I396" s="76" t="s">
        <v>479</v>
      </c>
      <c r="J396" s="95">
        <v>2</v>
      </c>
      <c r="K396" s="96">
        <v>3</v>
      </c>
      <c r="L396" s="97">
        <v>10</v>
      </c>
      <c r="M396" s="91">
        <f t="shared" si="111"/>
        <v>1</v>
      </c>
      <c r="N396" s="98" t="s">
        <v>64</v>
      </c>
      <c r="O396" s="99" t="s">
        <v>65</v>
      </c>
      <c r="P396" s="100">
        <f t="shared" si="109"/>
        <v>1</v>
      </c>
      <c r="Q396" s="101">
        <f t="shared" si="107"/>
        <v>0</v>
      </c>
      <c r="R396" s="101">
        <f t="shared" si="108"/>
        <v>0</v>
      </c>
      <c r="S396" s="102" t="s">
        <v>56</v>
      </c>
      <c r="T396" s="98">
        <f t="shared" si="110"/>
        <v>0</v>
      </c>
      <c r="U396" s="27" t="str">
        <f t="shared" si="103"/>
        <v>SUBDIRECCION DE GESTION CONTRACTUAL</v>
      </c>
      <c r="V396" s="91" t="str">
        <f t="shared" si="104"/>
        <v>CO-DC</v>
      </c>
      <c r="W396" s="27" t="str">
        <f t="shared" si="105"/>
        <v>Distrito Capital de Bogotá</v>
      </c>
      <c r="X396" s="103" t="s">
        <v>460</v>
      </c>
      <c r="Y396" s="91">
        <v>2427400</v>
      </c>
      <c r="Z396" s="105" t="s">
        <v>461</v>
      </c>
    </row>
    <row r="397" spans="1:26" s="5" customFormat="1" ht="12.75" hidden="1" customHeight="1" x14ac:dyDescent="0.2">
      <c r="A397" s="90" t="s">
        <v>456</v>
      </c>
      <c r="B397" s="91">
        <v>19</v>
      </c>
      <c r="C397" s="92" t="s">
        <v>477</v>
      </c>
      <c r="D397" s="92" t="s">
        <v>478</v>
      </c>
      <c r="E397" s="93"/>
      <c r="F397" s="93">
        <f>15000000-15000000</f>
        <v>0</v>
      </c>
      <c r="G397" s="93"/>
      <c r="H397" s="94" t="s">
        <v>377</v>
      </c>
      <c r="I397" s="76" t="s">
        <v>480</v>
      </c>
      <c r="J397" s="124">
        <v>2</v>
      </c>
      <c r="K397" s="124">
        <v>3</v>
      </c>
      <c r="L397" s="124">
        <v>9</v>
      </c>
      <c r="M397" s="91">
        <f t="shared" si="111"/>
        <v>1</v>
      </c>
      <c r="N397" s="98" t="s">
        <v>125</v>
      </c>
      <c r="O397" s="99" t="s">
        <v>126</v>
      </c>
      <c r="P397" s="100">
        <f t="shared" si="109"/>
        <v>1</v>
      </c>
      <c r="Q397" s="101">
        <f t="shared" si="107"/>
        <v>0</v>
      </c>
      <c r="R397" s="101">
        <f t="shared" si="108"/>
        <v>0</v>
      </c>
      <c r="S397" s="102" t="s">
        <v>56</v>
      </c>
      <c r="T397" s="98">
        <f t="shared" si="110"/>
        <v>0</v>
      </c>
      <c r="U397" s="27" t="str">
        <f t="shared" si="103"/>
        <v>SUBDIRECCION DE GESTION CONTRACTUAL</v>
      </c>
      <c r="V397" s="91" t="str">
        <f t="shared" si="104"/>
        <v>CO-DC</v>
      </c>
      <c r="W397" s="27" t="str">
        <f t="shared" si="105"/>
        <v>Distrito Capital de Bogotá</v>
      </c>
      <c r="X397" s="103" t="s">
        <v>460</v>
      </c>
      <c r="Y397" s="91">
        <v>2427400</v>
      </c>
      <c r="Z397" s="105" t="s">
        <v>461</v>
      </c>
    </row>
    <row r="398" spans="1:26" s="5" customFormat="1" ht="12.75" hidden="1" customHeight="1" x14ac:dyDescent="0.2">
      <c r="A398" s="90" t="s">
        <v>456</v>
      </c>
      <c r="B398" s="91">
        <v>20</v>
      </c>
      <c r="C398" s="92" t="s">
        <v>457</v>
      </c>
      <c r="D398" s="92" t="s">
        <v>458</v>
      </c>
      <c r="E398" s="93"/>
      <c r="F398" s="93">
        <v>200000000</v>
      </c>
      <c r="G398" s="93"/>
      <c r="H398" s="94" t="s">
        <v>481</v>
      </c>
      <c r="I398" s="76" t="s">
        <v>482</v>
      </c>
      <c r="J398" s="124">
        <v>1</v>
      </c>
      <c r="K398" s="124">
        <v>1</v>
      </c>
      <c r="L398" s="124">
        <v>12</v>
      </c>
      <c r="M398" s="91">
        <f t="shared" si="111"/>
        <v>1</v>
      </c>
      <c r="N398" s="98" t="s">
        <v>64</v>
      </c>
      <c r="O398" s="99" t="s">
        <v>65</v>
      </c>
      <c r="P398" s="100">
        <f t="shared" si="109"/>
        <v>1</v>
      </c>
      <c r="Q398" s="101">
        <f t="shared" si="107"/>
        <v>200000000</v>
      </c>
      <c r="R398" s="101">
        <f t="shared" si="108"/>
        <v>200000000</v>
      </c>
      <c r="S398" s="102" t="s">
        <v>56</v>
      </c>
      <c r="T398" s="98">
        <f t="shared" si="110"/>
        <v>0</v>
      </c>
      <c r="U398" s="27" t="str">
        <f t="shared" si="103"/>
        <v>SUBDIRECCION DE GESTION CONTRACTUAL</v>
      </c>
      <c r="V398" s="91" t="str">
        <f t="shared" si="104"/>
        <v>CO-DC</v>
      </c>
      <c r="W398" s="27" t="str">
        <f t="shared" si="105"/>
        <v>Distrito Capital de Bogotá</v>
      </c>
      <c r="X398" s="103" t="s">
        <v>460</v>
      </c>
      <c r="Y398" s="91">
        <v>2427400</v>
      </c>
      <c r="Z398" s="105" t="s">
        <v>461</v>
      </c>
    </row>
    <row r="399" spans="1:26" s="5" customFormat="1" ht="12.75" hidden="1" customHeight="1" x14ac:dyDescent="0.2">
      <c r="A399" s="90" t="s">
        <v>456</v>
      </c>
      <c r="B399" s="91">
        <v>21</v>
      </c>
      <c r="C399" s="92" t="s">
        <v>457</v>
      </c>
      <c r="D399" s="92" t="s">
        <v>458</v>
      </c>
      <c r="E399" s="93"/>
      <c r="F399" s="93">
        <v>15000000</v>
      </c>
      <c r="G399" s="93"/>
      <c r="H399" s="94" t="s">
        <v>377</v>
      </c>
      <c r="I399" s="76" t="s">
        <v>480</v>
      </c>
      <c r="J399" s="124">
        <v>2</v>
      </c>
      <c r="K399" s="124">
        <v>3</v>
      </c>
      <c r="L399" s="124">
        <v>9</v>
      </c>
      <c r="M399" s="91">
        <f t="shared" si="111"/>
        <v>1</v>
      </c>
      <c r="N399" s="98" t="s">
        <v>125</v>
      </c>
      <c r="O399" s="99" t="s">
        <v>126</v>
      </c>
      <c r="P399" s="100">
        <f t="shared" si="109"/>
        <v>1</v>
      </c>
      <c r="Q399" s="101">
        <f t="shared" si="107"/>
        <v>15000000</v>
      </c>
      <c r="R399" s="101">
        <f t="shared" si="108"/>
        <v>15000000</v>
      </c>
      <c r="S399" s="102" t="s">
        <v>56</v>
      </c>
      <c r="T399" s="98">
        <f t="shared" si="110"/>
        <v>0</v>
      </c>
      <c r="U399" s="27" t="str">
        <f t="shared" si="103"/>
        <v>SUBDIRECCION DE GESTION CONTRACTUAL</v>
      </c>
      <c r="V399" s="91" t="str">
        <f t="shared" si="104"/>
        <v>CO-DC</v>
      </c>
      <c r="W399" s="27" t="str">
        <f t="shared" si="105"/>
        <v>Distrito Capital de Bogotá</v>
      </c>
      <c r="X399" s="103" t="s">
        <v>460</v>
      </c>
      <c r="Y399" s="91">
        <v>2427400</v>
      </c>
      <c r="Z399" s="105" t="s">
        <v>461</v>
      </c>
    </row>
    <row r="400" spans="1:26" s="63" customFormat="1" ht="15" hidden="1" customHeight="1" x14ac:dyDescent="0.25">
      <c r="A400" s="90" t="s">
        <v>456</v>
      </c>
      <c r="B400" s="91">
        <v>22</v>
      </c>
      <c r="C400" s="92" t="s">
        <v>457</v>
      </c>
      <c r="D400" s="92" t="s">
        <v>458</v>
      </c>
      <c r="E400" s="93"/>
      <c r="F400" s="93">
        <v>100000000</v>
      </c>
      <c r="G400" s="93"/>
      <c r="H400" s="94" t="s">
        <v>71</v>
      </c>
      <c r="I400" s="76" t="s">
        <v>482</v>
      </c>
      <c r="J400" s="124">
        <v>7</v>
      </c>
      <c r="K400" s="124">
        <v>7</v>
      </c>
      <c r="L400" s="124">
        <v>6</v>
      </c>
      <c r="M400" s="91">
        <v>1</v>
      </c>
      <c r="N400" s="98" t="s">
        <v>64</v>
      </c>
      <c r="O400" s="99" t="s">
        <v>65</v>
      </c>
      <c r="P400" s="100">
        <f t="shared" si="109"/>
        <v>1</v>
      </c>
      <c r="Q400" s="101">
        <f t="shared" si="107"/>
        <v>100000000</v>
      </c>
      <c r="R400" s="101">
        <f t="shared" si="108"/>
        <v>100000000</v>
      </c>
      <c r="S400" s="102" t="s">
        <v>56</v>
      </c>
      <c r="T400" s="98">
        <f t="shared" si="110"/>
        <v>0</v>
      </c>
      <c r="U400" s="27" t="str">
        <f t="shared" si="103"/>
        <v>SUBDIRECCION DE GESTION CONTRACTUAL</v>
      </c>
      <c r="V400" s="91" t="str">
        <f t="shared" si="104"/>
        <v>CO-DC</v>
      </c>
      <c r="W400" s="27" t="str">
        <f t="shared" si="105"/>
        <v>Distrito Capital de Bogotá</v>
      </c>
      <c r="X400" s="103" t="s">
        <v>483</v>
      </c>
      <c r="Y400" s="91">
        <v>2427400</v>
      </c>
      <c r="Z400" s="85" t="s">
        <v>484</v>
      </c>
    </row>
    <row r="401" spans="1:26" s="5" customFormat="1" ht="12.75" hidden="1" customHeight="1" x14ac:dyDescent="0.25">
      <c r="A401" s="90" t="s">
        <v>485</v>
      </c>
      <c r="B401" s="91">
        <v>1</v>
      </c>
      <c r="C401" s="92" t="s">
        <v>486</v>
      </c>
      <c r="D401" s="92" t="s">
        <v>152</v>
      </c>
      <c r="E401" s="93"/>
      <c r="F401" s="93">
        <v>162469701</v>
      </c>
      <c r="G401" s="93"/>
      <c r="H401" s="94" t="s">
        <v>487</v>
      </c>
      <c r="I401" s="76" t="s">
        <v>488</v>
      </c>
      <c r="J401" s="124">
        <v>2</v>
      </c>
      <c r="K401" s="124">
        <v>3</v>
      </c>
      <c r="L401" s="124">
        <v>9</v>
      </c>
      <c r="M401" s="91">
        <f t="shared" ref="M401:M425" si="112">IF(ISBLANK(J401),"",1)</f>
        <v>1</v>
      </c>
      <c r="N401" s="98" t="s">
        <v>64</v>
      </c>
      <c r="O401" s="99" t="s">
        <v>65</v>
      </c>
      <c r="P401" s="100">
        <f t="shared" si="109"/>
        <v>1</v>
      </c>
      <c r="Q401" s="101">
        <f t="shared" si="107"/>
        <v>162469701</v>
      </c>
      <c r="R401" s="101">
        <f t="shared" si="108"/>
        <v>162469701</v>
      </c>
      <c r="S401" s="102" t="s">
        <v>56</v>
      </c>
      <c r="T401" s="98">
        <f t="shared" si="110"/>
        <v>0</v>
      </c>
      <c r="U401" s="27" t="str">
        <f t="shared" si="103"/>
        <v>SUBDIRECCION DE GESTION CONTRACTUAL</v>
      </c>
      <c r="V401" s="91" t="str">
        <f t="shared" si="104"/>
        <v>CO-DC</v>
      </c>
      <c r="W401" s="27" t="str">
        <f t="shared" si="105"/>
        <v>Distrito Capital de Bogotá</v>
      </c>
      <c r="X401" s="103" t="s">
        <v>489</v>
      </c>
      <c r="Y401" s="91">
        <v>2427400</v>
      </c>
      <c r="Z401" s="85" t="s">
        <v>490</v>
      </c>
    </row>
    <row r="402" spans="1:26" s="5" customFormat="1" ht="12.75" hidden="1" customHeight="1" x14ac:dyDescent="0.25">
      <c r="A402" s="90" t="s">
        <v>485</v>
      </c>
      <c r="B402" s="91">
        <v>2</v>
      </c>
      <c r="C402" s="92" t="s">
        <v>486</v>
      </c>
      <c r="D402" s="92" t="s">
        <v>152</v>
      </c>
      <c r="E402" s="93"/>
      <c r="F402" s="93">
        <v>177437126</v>
      </c>
      <c r="G402" s="93"/>
      <c r="H402" s="94" t="s">
        <v>487</v>
      </c>
      <c r="I402" s="76" t="s">
        <v>491</v>
      </c>
      <c r="J402" s="124">
        <v>2</v>
      </c>
      <c r="K402" s="124">
        <v>3</v>
      </c>
      <c r="L402" s="124">
        <v>9</v>
      </c>
      <c r="M402" s="91">
        <f t="shared" si="112"/>
        <v>1</v>
      </c>
      <c r="N402" s="98" t="s">
        <v>64</v>
      </c>
      <c r="O402" s="99" t="s">
        <v>65</v>
      </c>
      <c r="P402" s="100">
        <f t="shared" si="109"/>
        <v>1</v>
      </c>
      <c r="Q402" s="101">
        <f t="shared" si="107"/>
        <v>177437126</v>
      </c>
      <c r="R402" s="101">
        <f t="shared" si="108"/>
        <v>177437126</v>
      </c>
      <c r="S402" s="102" t="s">
        <v>56</v>
      </c>
      <c r="T402" s="98">
        <f t="shared" si="110"/>
        <v>0</v>
      </c>
      <c r="U402" s="27" t="str">
        <f t="shared" si="103"/>
        <v>SUBDIRECCION DE GESTION CONTRACTUAL</v>
      </c>
      <c r="V402" s="91" t="str">
        <f t="shared" si="104"/>
        <v>CO-DC</v>
      </c>
      <c r="W402" s="27" t="str">
        <f t="shared" si="105"/>
        <v>Distrito Capital de Bogotá</v>
      </c>
      <c r="X402" s="103" t="s">
        <v>489</v>
      </c>
      <c r="Y402" s="91">
        <v>2427400</v>
      </c>
      <c r="Z402" s="85" t="s">
        <v>490</v>
      </c>
    </row>
    <row r="403" spans="1:26" s="5" customFormat="1" ht="12.75" hidden="1" customHeight="1" x14ac:dyDescent="0.25">
      <c r="A403" s="90" t="s">
        <v>485</v>
      </c>
      <c r="B403" s="91">
        <v>3</v>
      </c>
      <c r="C403" s="92" t="s">
        <v>486</v>
      </c>
      <c r="D403" s="92" t="s">
        <v>152</v>
      </c>
      <c r="E403" s="93"/>
      <c r="F403" s="93">
        <v>438490269</v>
      </c>
      <c r="G403" s="93"/>
      <c r="H403" s="94" t="s">
        <v>487</v>
      </c>
      <c r="I403" s="76" t="s">
        <v>492</v>
      </c>
      <c r="J403" s="124">
        <v>2</v>
      </c>
      <c r="K403" s="124">
        <v>3</v>
      </c>
      <c r="L403" s="124">
        <v>9</v>
      </c>
      <c r="M403" s="91">
        <f t="shared" si="112"/>
        <v>1</v>
      </c>
      <c r="N403" s="98" t="s">
        <v>64</v>
      </c>
      <c r="O403" s="99" t="s">
        <v>65</v>
      </c>
      <c r="P403" s="100">
        <f t="shared" si="109"/>
        <v>1</v>
      </c>
      <c r="Q403" s="101">
        <f t="shared" si="107"/>
        <v>438490269</v>
      </c>
      <c r="R403" s="101">
        <f t="shared" si="108"/>
        <v>438490269</v>
      </c>
      <c r="S403" s="102" t="s">
        <v>56</v>
      </c>
      <c r="T403" s="98">
        <f t="shared" si="110"/>
        <v>0</v>
      </c>
      <c r="U403" s="27" t="str">
        <f t="shared" si="103"/>
        <v>SUBDIRECCION DE GESTION CONTRACTUAL</v>
      </c>
      <c r="V403" s="91" t="str">
        <f t="shared" si="104"/>
        <v>CO-DC</v>
      </c>
      <c r="W403" s="27" t="str">
        <f t="shared" si="105"/>
        <v>Distrito Capital de Bogotá</v>
      </c>
      <c r="X403" s="103" t="s">
        <v>489</v>
      </c>
      <c r="Y403" s="91">
        <v>2427400</v>
      </c>
      <c r="Z403" s="85" t="s">
        <v>490</v>
      </c>
    </row>
    <row r="404" spans="1:26" s="5" customFormat="1" ht="12.75" hidden="1" customHeight="1" x14ac:dyDescent="0.25">
      <c r="A404" s="90" t="s">
        <v>485</v>
      </c>
      <c r="B404" s="91">
        <v>4</v>
      </c>
      <c r="C404" s="92" t="s">
        <v>486</v>
      </c>
      <c r="D404" s="92" t="s">
        <v>152</v>
      </c>
      <c r="E404" s="93"/>
      <c r="F404" s="93">
        <f>1533271892+103850000</f>
        <v>1637121892</v>
      </c>
      <c r="G404" s="93"/>
      <c r="H404" s="94">
        <v>80111600</v>
      </c>
      <c r="I404" s="76" t="s">
        <v>493</v>
      </c>
      <c r="J404" s="124">
        <v>1</v>
      </c>
      <c r="K404" s="124">
        <v>1</v>
      </c>
      <c r="L404" s="124">
        <v>12</v>
      </c>
      <c r="M404" s="91">
        <f t="shared" si="112"/>
        <v>1</v>
      </c>
      <c r="N404" s="98" t="s">
        <v>54</v>
      </c>
      <c r="O404" s="99" t="s">
        <v>55</v>
      </c>
      <c r="P404" s="100">
        <f t="shared" si="109"/>
        <v>1</v>
      </c>
      <c r="Q404" s="101">
        <f t="shared" si="107"/>
        <v>1637121892</v>
      </c>
      <c r="R404" s="101">
        <f t="shared" si="108"/>
        <v>1637121892</v>
      </c>
      <c r="S404" s="102" t="s">
        <v>56</v>
      </c>
      <c r="T404" s="98">
        <f t="shared" si="110"/>
        <v>0</v>
      </c>
      <c r="U404" s="27" t="str">
        <f t="shared" si="103"/>
        <v>SUBDIRECCION DE GESTION CONTRACTUAL</v>
      </c>
      <c r="V404" s="91" t="str">
        <f t="shared" si="104"/>
        <v>CO-DC</v>
      </c>
      <c r="W404" s="27" t="str">
        <f t="shared" si="105"/>
        <v>Distrito Capital de Bogotá</v>
      </c>
      <c r="X404" s="103" t="s">
        <v>489</v>
      </c>
      <c r="Y404" s="91">
        <v>2427400</v>
      </c>
      <c r="Z404" s="85" t="s">
        <v>490</v>
      </c>
    </row>
    <row r="405" spans="1:26" s="5" customFormat="1" ht="12.75" hidden="1" customHeight="1" x14ac:dyDescent="0.2">
      <c r="A405" s="90" t="s">
        <v>485</v>
      </c>
      <c r="B405" s="91">
        <v>5</v>
      </c>
      <c r="C405" s="92" t="s">
        <v>486</v>
      </c>
      <c r="D405" s="92" t="s">
        <v>152</v>
      </c>
      <c r="E405" s="93"/>
      <c r="F405" s="93">
        <v>200000000</v>
      </c>
      <c r="G405" s="93"/>
      <c r="H405" s="94" t="s">
        <v>59</v>
      </c>
      <c r="I405" s="76" t="s">
        <v>494</v>
      </c>
      <c r="J405" s="95">
        <v>3</v>
      </c>
      <c r="K405" s="96">
        <v>4</v>
      </c>
      <c r="L405" s="97">
        <v>9</v>
      </c>
      <c r="M405" s="91">
        <f t="shared" si="112"/>
        <v>1</v>
      </c>
      <c r="N405" s="98" t="s">
        <v>61</v>
      </c>
      <c r="O405" s="99" t="s">
        <v>62</v>
      </c>
      <c r="P405" s="100">
        <f t="shared" si="109"/>
        <v>1</v>
      </c>
      <c r="Q405" s="101">
        <f t="shared" si="107"/>
        <v>200000000</v>
      </c>
      <c r="R405" s="101">
        <f t="shared" si="108"/>
        <v>200000000</v>
      </c>
      <c r="S405" s="102" t="s">
        <v>56</v>
      </c>
      <c r="T405" s="98">
        <f t="shared" si="110"/>
        <v>0</v>
      </c>
      <c r="U405" s="27" t="str">
        <f t="shared" si="103"/>
        <v>SUBDIRECCION DE GESTION CONTRACTUAL</v>
      </c>
      <c r="V405" s="91" t="str">
        <f t="shared" si="104"/>
        <v>CO-DC</v>
      </c>
      <c r="W405" s="27" t="str">
        <f t="shared" si="105"/>
        <v>Distrito Capital de Bogotá</v>
      </c>
      <c r="X405" s="103" t="s">
        <v>162</v>
      </c>
      <c r="Y405" s="91">
        <v>2427400</v>
      </c>
      <c r="Z405" s="105" t="s">
        <v>163</v>
      </c>
    </row>
    <row r="406" spans="1:26" s="5" customFormat="1" ht="12.75" hidden="1" customHeight="1" x14ac:dyDescent="0.2">
      <c r="A406" s="90" t="s">
        <v>485</v>
      </c>
      <c r="B406" s="91">
        <v>6</v>
      </c>
      <c r="C406" s="92" t="s">
        <v>486</v>
      </c>
      <c r="D406" s="92" t="s">
        <v>152</v>
      </c>
      <c r="E406" s="93"/>
      <c r="F406" s="93">
        <v>15000000</v>
      </c>
      <c r="G406" s="93"/>
      <c r="H406" s="94" t="s">
        <v>495</v>
      </c>
      <c r="I406" s="76" t="s">
        <v>496</v>
      </c>
      <c r="J406" s="95">
        <v>10</v>
      </c>
      <c r="K406" s="95">
        <v>10</v>
      </c>
      <c r="L406" s="95">
        <v>1</v>
      </c>
      <c r="M406" s="95">
        <v>1</v>
      </c>
      <c r="N406" s="98" t="s">
        <v>100</v>
      </c>
      <c r="O406" s="99" t="s">
        <v>105</v>
      </c>
      <c r="P406" s="100">
        <f t="shared" si="109"/>
        <v>1</v>
      </c>
      <c r="Q406" s="101">
        <f t="shared" si="107"/>
        <v>15000000</v>
      </c>
      <c r="R406" s="101">
        <f t="shared" si="108"/>
        <v>15000000</v>
      </c>
      <c r="S406" s="102" t="s">
        <v>56</v>
      </c>
      <c r="T406" s="98">
        <f t="shared" si="110"/>
        <v>0</v>
      </c>
      <c r="U406" s="27" t="str">
        <f t="shared" si="103"/>
        <v>SUBDIRECCION DE GESTION CONTRACTUAL</v>
      </c>
      <c r="V406" s="91" t="str">
        <f t="shared" si="104"/>
        <v>CO-DC</v>
      </c>
      <c r="W406" s="27" t="str">
        <f t="shared" si="105"/>
        <v>Distrito Capital de Bogotá</v>
      </c>
      <c r="X406" s="103" t="s">
        <v>196</v>
      </c>
      <c r="Y406" s="91">
        <v>2427400</v>
      </c>
      <c r="Z406" s="105" t="s">
        <v>197</v>
      </c>
    </row>
    <row r="407" spans="1:26" s="5" customFormat="1" ht="12.75" hidden="1" customHeight="1" x14ac:dyDescent="0.25">
      <c r="A407" s="90" t="s">
        <v>485</v>
      </c>
      <c r="B407" s="91">
        <v>7</v>
      </c>
      <c r="C407" s="92" t="s">
        <v>486</v>
      </c>
      <c r="D407" s="92" t="s">
        <v>152</v>
      </c>
      <c r="E407" s="93"/>
      <c r="F407" s="93">
        <v>154400000</v>
      </c>
      <c r="G407" s="93"/>
      <c r="H407" s="94" t="s">
        <v>71</v>
      </c>
      <c r="I407" s="76" t="s">
        <v>497</v>
      </c>
      <c r="J407" s="95">
        <v>2</v>
      </c>
      <c r="K407" s="96">
        <v>3</v>
      </c>
      <c r="L407" s="97">
        <v>10</v>
      </c>
      <c r="M407" s="91">
        <f t="shared" si="112"/>
        <v>1</v>
      </c>
      <c r="N407" s="98" t="s">
        <v>64</v>
      </c>
      <c r="O407" s="99" t="s">
        <v>65</v>
      </c>
      <c r="P407" s="100">
        <f t="shared" si="109"/>
        <v>1</v>
      </c>
      <c r="Q407" s="101">
        <f t="shared" si="107"/>
        <v>154400000</v>
      </c>
      <c r="R407" s="101">
        <f t="shared" si="108"/>
        <v>154400000</v>
      </c>
      <c r="S407" s="102" t="s">
        <v>366</v>
      </c>
      <c r="T407" s="98">
        <f t="shared" si="110"/>
        <v>3</v>
      </c>
      <c r="U407" s="27" t="str">
        <f t="shared" si="103"/>
        <v>SUBDIRECCION DE GESTION CONTRACTUAL</v>
      </c>
      <c r="V407" s="91" t="str">
        <f t="shared" si="104"/>
        <v>CO-DC</v>
      </c>
      <c r="W407" s="27" t="str">
        <f t="shared" si="105"/>
        <v>Distrito Capital de Bogotá</v>
      </c>
      <c r="X407" s="103" t="s">
        <v>489</v>
      </c>
      <c r="Y407" s="91">
        <v>2427400</v>
      </c>
      <c r="Z407" s="85" t="s">
        <v>490</v>
      </c>
    </row>
    <row r="408" spans="1:26" s="5" customFormat="1" ht="12.75" hidden="1" customHeight="1" x14ac:dyDescent="0.2">
      <c r="A408" s="90" t="s">
        <v>485</v>
      </c>
      <c r="B408" s="91">
        <v>8</v>
      </c>
      <c r="C408" s="92" t="s">
        <v>486</v>
      </c>
      <c r="D408" s="92" t="s">
        <v>152</v>
      </c>
      <c r="E408" s="93"/>
      <c r="F408" s="93">
        <f>25000000-25000000</f>
        <v>0</v>
      </c>
      <c r="G408" s="93"/>
      <c r="H408" s="94" t="s">
        <v>498</v>
      </c>
      <c r="I408" s="76" t="s">
        <v>499</v>
      </c>
      <c r="J408" s="124">
        <v>3</v>
      </c>
      <c r="K408" s="124">
        <v>4</v>
      </c>
      <c r="L408" s="124">
        <v>8</v>
      </c>
      <c r="M408" s="91">
        <f t="shared" si="112"/>
        <v>1</v>
      </c>
      <c r="N408" s="98" t="s">
        <v>87</v>
      </c>
      <c r="O408" s="99" t="s">
        <v>88</v>
      </c>
      <c r="P408" s="100">
        <f t="shared" si="109"/>
        <v>1</v>
      </c>
      <c r="Q408" s="101">
        <f t="shared" si="107"/>
        <v>0</v>
      </c>
      <c r="R408" s="101">
        <f t="shared" si="108"/>
        <v>0</v>
      </c>
      <c r="S408" s="102" t="s">
        <v>56</v>
      </c>
      <c r="T408" s="98">
        <f t="shared" si="110"/>
        <v>0</v>
      </c>
      <c r="U408" s="27" t="str">
        <f t="shared" si="103"/>
        <v>SUBDIRECCION DE GESTION CONTRACTUAL</v>
      </c>
      <c r="V408" s="91" t="str">
        <f t="shared" si="104"/>
        <v>CO-DC</v>
      </c>
      <c r="W408" s="27" t="str">
        <f t="shared" si="105"/>
        <v>Distrito Capital de Bogotá</v>
      </c>
      <c r="X408" s="103" t="s">
        <v>201</v>
      </c>
      <c r="Y408" s="91">
        <v>2427400</v>
      </c>
      <c r="Z408" s="105" t="s">
        <v>500</v>
      </c>
    </row>
    <row r="409" spans="1:26" s="5" customFormat="1" ht="12.75" hidden="1" customHeight="1" x14ac:dyDescent="0.2">
      <c r="A409" s="90" t="s">
        <v>485</v>
      </c>
      <c r="B409" s="91">
        <v>9</v>
      </c>
      <c r="C409" s="92" t="s">
        <v>486</v>
      </c>
      <c r="D409" s="92" t="s">
        <v>152</v>
      </c>
      <c r="E409" s="93"/>
      <c r="F409" s="93">
        <f>50000000+25000000-75000000</f>
        <v>0</v>
      </c>
      <c r="G409" s="93"/>
      <c r="H409" s="94" t="s">
        <v>467</v>
      </c>
      <c r="I409" s="76" t="s">
        <v>501</v>
      </c>
      <c r="J409" s="124">
        <v>6</v>
      </c>
      <c r="K409" s="124">
        <v>8</v>
      </c>
      <c r="L409" s="124">
        <v>3</v>
      </c>
      <c r="M409" s="91">
        <f t="shared" si="112"/>
        <v>1</v>
      </c>
      <c r="N409" s="98" t="s">
        <v>125</v>
      </c>
      <c r="O409" s="99" t="s">
        <v>126</v>
      </c>
      <c r="P409" s="100">
        <f t="shared" si="109"/>
        <v>1</v>
      </c>
      <c r="Q409" s="101">
        <f t="shared" si="107"/>
        <v>0</v>
      </c>
      <c r="R409" s="101">
        <f t="shared" si="108"/>
        <v>0</v>
      </c>
      <c r="S409" s="102" t="s">
        <v>56</v>
      </c>
      <c r="T409" s="98">
        <f t="shared" si="110"/>
        <v>0</v>
      </c>
      <c r="U409" s="27" t="str">
        <f t="shared" si="103"/>
        <v>SUBDIRECCION DE GESTION CONTRACTUAL</v>
      </c>
      <c r="V409" s="91" t="str">
        <f t="shared" si="104"/>
        <v>CO-DC</v>
      </c>
      <c r="W409" s="27" t="str">
        <f t="shared" si="105"/>
        <v>Distrito Capital de Bogotá</v>
      </c>
      <c r="X409" s="103" t="s">
        <v>502</v>
      </c>
      <c r="Y409" s="91">
        <v>2427400</v>
      </c>
      <c r="Z409" s="105" t="s">
        <v>503</v>
      </c>
    </row>
    <row r="410" spans="1:26" s="5" customFormat="1" ht="12.75" hidden="1" customHeight="1" x14ac:dyDescent="0.25">
      <c r="A410" s="90" t="s">
        <v>485</v>
      </c>
      <c r="B410" s="91">
        <v>10</v>
      </c>
      <c r="C410" s="92" t="s">
        <v>504</v>
      </c>
      <c r="D410" s="92" t="s">
        <v>505</v>
      </c>
      <c r="E410" s="93"/>
      <c r="F410" s="93">
        <v>365899947</v>
      </c>
      <c r="G410" s="93"/>
      <c r="H410" s="94" t="s">
        <v>487</v>
      </c>
      <c r="I410" s="76" t="s">
        <v>506</v>
      </c>
      <c r="J410" s="124">
        <v>2</v>
      </c>
      <c r="K410" s="124">
        <v>3</v>
      </c>
      <c r="L410" s="124">
        <v>9</v>
      </c>
      <c r="M410" s="91">
        <f t="shared" si="112"/>
        <v>1</v>
      </c>
      <c r="N410" s="98" t="s">
        <v>64</v>
      </c>
      <c r="O410" s="99" t="s">
        <v>65</v>
      </c>
      <c r="P410" s="100">
        <f t="shared" si="109"/>
        <v>1</v>
      </c>
      <c r="Q410" s="101">
        <f t="shared" ref="Q410:Q442" si="113">+E410+F410+G410</f>
        <v>365899947</v>
      </c>
      <c r="R410" s="101">
        <f t="shared" ref="R410:R442" si="114">+F410</f>
        <v>365899947</v>
      </c>
      <c r="S410" s="102" t="s">
        <v>56</v>
      </c>
      <c r="T410" s="98">
        <f t="shared" si="110"/>
        <v>0</v>
      </c>
      <c r="U410" s="27" t="str">
        <f t="shared" si="103"/>
        <v>SUBDIRECCION DE GESTION CONTRACTUAL</v>
      </c>
      <c r="V410" s="91" t="str">
        <f t="shared" si="104"/>
        <v>CO-DC</v>
      </c>
      <c r="W410" s="27" t="str">
        <f t="shared" si="105"/>
        <v>Distrito Capital de Bogotá</v>
      </c>
      <c r="X410" s="103" t="s">
        <v>489</v>
      </c>
      <c r="Y410" s="91">
        <v>2427400</v>
      </c>
      <c r="Z410" s="85" t="s">
        <v>490</v>
      </c>
    </row>
    <row r="411" spans="1:26" s="5" customFormat="1" ht="12.75" hidden="1" customHeight="1" x14ac:dyDescent="0.25">
      <c r="A411" s="90" t="s">
        <v>485</v>
      </c>
      <c r="B411" s="91">
        <v>11</v>
      </c>
      <c r="C411" s="92" t="s">
        <v>504</v>
      </c>
      <c r="D411" s="92" t="s">
        <v>505</v>
      </c>
      <c r="E411" s="93"/>
      <c r="F411" s="93">
        <v>404480842</v>
      </c>
      <c r="G411" s="93"/>
      <c r="H411" s="94" t="s">
        <v>487</v>
      </c>
      <c r="I411" s="76" t="s">
        <v>507</v>
      </c>
      <c r="J411" s="124">
        <v>2</v>
      </c>
      <c r="K411" s="124">
        <v>3</v>
      </c>
      <c r="L411" s="124">
        <v>9</v>
      </c>
      <c r="M411" s="91">
        <f t="shared" si="112"/>
        <v>1</v>
      </c>
      <c r="N411" s="98" t="s">
        <v>64</v>
      </c>
      <c r="O411" s="99" t="s">
        <v>65</v>
      </c>
      <c r="P411" s="100">
        <f t="shared" si="109"/>
        <v>1</v>
      </c>
      <c r="Q411" s="101">
        <f t="shared" si="113"/>
        <v>404480842</v>
      </c>
      <c r="R411" s="101">
        <f t="shared" si="114"/>
        <v>404480842</v>
      </c>
      <c r="S411" s="102" t="s">
        <v>56</v>
      </c>
      <c r="T411" s="98">
        <f t="shared" si="110"/>
        <v>0</v>
      </c>
      <c r="U411" s="27" t="str">
        <f t="shared" si="103"/>
        <v>SUBDIRECCION DE GESTION CONTRACTUAL</v>
      </c>
      <c r="V411" s="91" t="str">
        <f t="shared" si="104"/>
        <v>CO-DC</v>
      </c>
      <c r="W411" s="27" t="str">
        <f t="shared" si="105"/>
        <v>Distrito Capital de Bogotá</v>
      </c>
      <c r="X411" s="103" t="s">
        <v>489</v>
      </c>
      <c r="Y411" s="91">
        <v>2427400</v>
      </c>
      <c r="Z411" s="85" t="s">
        <v>490</v>
      </c>
    </row>
    <row r="412" spans="1:26" s="5" customFormat="1" ht="12.75" hidden="1" customHeight="1" x14ac:dyDescent="0.25">
      <c r="A412" s="90" t="s">
        <v>485</v>
      </c>
      <c r="B412" s="91">
        <v>12</v>
      </c>
      <c r="C412" s="92" t="s">
        <v>504</v>
      </c>
      <c r="D412" s="92" t="s">
        <v>152</v>
      </c>
      <c r="E412" s="93"/>
      <c r="F412" s="93">
        <v>87602275</v>
      </c>
      <c r="G412" s="93"/>
      <c r="H412" s="94" t="s">
        <v>487</v>
      </c>
      <c r="I412" s="76" t="s">
        <v>508</v>
      </c>
      <c r="J412" s="124">
        <v>2</v>
      </c>
      <c r="K412" s="124">
        <v>3</v>
      </c>
      <c r="L412" s="124">
        <v>9</v>
      </c>
      <c r="M412" s="91">
        <f t="shared" si="112"/>
        <v>1</v>
      </c>
      <c r="N412" s="98" t="s">
        <v>64</v>
      </c>
      <c r="O412" s="99" t="s">
        <v>65</v>
      </c>
      <c r="P412" s="100">
        <f t="shared" si="109"/>
        <v>1</v>
      </c>
      <c r="Q412" s="101">
        <f t="shared" si="113"/>
        <v>87602275</v>
      </c>
      <c r="R412" s="101">
        <f t="shared" si="114"/>
        <v>87602275</v>
      </c>
      <c r="S412" s="102" t="s">
        <v>56</v>
      </c>
      <c r="T412" s="98">
        <f t="shared" si="110"/>
        <v>0</v>
      </c>
      <c r="U412" s="27" t="str">
        <f t="shared" si="103"/>
        <v>SUBDIRECCION DE GESTION CONTRACTUAL</v>
      </c>
      <c r="V412" s="91" t="str">
        <f t="shared" si="104"/>
        <v>CO-DC</v>
      </c>
      <c r="W412" s="27" t="str">
        <f t="shared" si="105"/>
        <v>Distrito Capital de Bogotá</v>
      </c>
      <c r="X412" s="103" t="s">
        <v>489</v>
      </c>
      <c r="Y412" s="91">
        <v>2427400</v>
      </c>
      <c r="Z412" s="85" t="s">
        <v>490</v>
      </c>
    </row>
    <row r="413" spans="1:26" s="5" customFormat="1" ht="12.75" hidden="1" customHeight="1" x14ac:dyDescent="0.25">
      <c r="A413" s="90" t="s">
        <v>485</v>
      </c>
      <c r="B413" s="91">
        <v>13</v>
      </c>
      <c r="C413" s="92" t="s">
        <v>504</v>
      </c>
      <c r="D413" s="92" t="s">
        <v>505</v>
      </c>
      <c r="E413" s="93"/>
      <c r="F413" s="93">
        <v>191609926</v>
      </c>
      <c r="G413" s="93"/>
      <c r="H413" s="94" t="s">
        <v>487</v>
      </c>
      <c r="I413" s="76" t="s">
        <v>509</v>
      </c>
      <c r="J413" s="124">
        <v>2</v>
      </c>
      <c r="K413" s="124">
        <v>3</v>
      </c>
      <c r="L413" s="124">
        <v>9</v>
      </c>
      <c r="M413" s="91">
        <f t="shared" si="112"/>
        <v>1</v>
      </c>
      <c r="N413" s="98" t="s">
        <v>64</v>
      </c>
      <c r="O413" s="99" t="s">
        <v>65</v>
      </c>
      <c r="P413" s="100">
        <f t="shared" si="109"/>
        <v>1</v>
      </c>
      <c r="Q413" s="101">
        <f t="shared" si="113"/>
        <v>191609926</v>
      </c>
      <c r="R413" s="101">
        <f t="shared" si="114"/>
        <v>191609926</v>
      </c>
      <c r="S413" s="102" t="s">
        <v>56</v>
      </c>
      <c r="T413" s="98">
        <f t="shared" si="110"/>
        <v>0</v>
      </c>
      <c r="U413" s="27" t="str">
        <f t="shared" si="103"/>
        <v>SUBDIRECCION DE GESTION CONTRACTUAL</v>
      </c>
      <c r="V413" s="91" t="str">
        <f t="shared" si="104"/>
        <v>CO-DC</v>
      </c>
      <c r="W413" s="27" t="str">
        <f t="shared" si="105"/>
        <v>Distrito Capital de Bogotá</v>
      </c>
      <c r="X413" s="103" t="s">
        <v>489</v>
      </c>
      <c r="Y413" s="91">
        <v>2427400</v>
      </c>
      <c r="Z413" s="85" t="s">
        <v>490</v>
      </c>
    </row>
    <row r="414" spans="1:26" s="5" customFormat="1" ht="12.75" hidden="1" customHeight="1" x14ac:dyDescent="0.25">
      <c r="A414" s="90" t="s">
        <v>485</v>
      </c>
      <c r="B414" s="91">
        <v>14</v>
      </c>
      <c r="C414" s="92" t="s">
        <v>504</v>
      </c>
      <c r="D414" s="92" t="s">
        <v>152</v>
      </c>
      <c r="E414" s="93"/>
      <c r="F414" s="93">
        <v>300000000</v>
      </c>
      <c r="G414" s="93"/>
      <c r="H414" s="94" t="s">
        <v>487</v>
      </c>
      <c r="I414" s="76" t="s">
        <v>510</v>
      </c>
      <c r="J414" s="124">
        <v>2</v>
      </c>
      <c r="K414" s="124">
        <v>3</v>
      </c>
      <c r="L414" s="124">
        <v>9</v>
      </c>
      <c r="M414" s="91">
        <f t="shared" si="112"/>
        <v>1</v>
      </c>
      <c r="N414" s="98" t="s">
        <v>64</v>
      </c>
      <c r="O414" s="99" t="s">
        <v>65</v>
      </c>
      <c r="P414" s="100">
        <f t="shared" si="109"/>
        <v>1</v>
      </c>
      <c r="Q414" s="101">
        <f t="shared" si="113"/>
        <v>300000000</v>
      </c>
      <c r="R414" s="101">
        <f t="shared" si="114"/>
        <v>300000000</v>
      </c>
      <c r="S414" s="102" t="s">
        <v>56</v>
      </c>
      <c r="T414" s="98">
        <f t="shared" si="110"/>
        <v>0</v>
      </c>
      <c r="U414" s="27" t="str">
        <f t="shared" si="103"/>
        <v>SUBDIRECCION DE GESTION CONTRACTUAL</v>
      </c>
      <c r="V414" s="91" t="str">
        <f t="shared" si="104"/>
        <v>CO-DC</v>
      </c>
      <c r="W414" s="27" t="str">
        <f t="shared" si="105"/>
        <v>Distrito Capital de Bogotá</v>
      </c>
      <c r="X414" s="103" t="s">
        <v>489</v>
      </c>
      <c r="Y414" s="91">
        <v>2427400</v>
      </c>
      <c r="Z414" s="85" t="s">
        <v>490</v>
      </c>
    </row>
    <row r="415" spans="1:26" s="5" customFormat="1" ht="12.75" hidden="1" customHeight="1" x14ac:dyDescent="0.25">
      <c r="A415" s="90" t="s">
        <v>485</v>
      </c>
      <c r="B415" s="91">
        <v>15</v>
      </c>
      <c r="C415" s="92" t="s">
        <v>504</v>
      </c>
      <c r="D415" s="92" t="s">
        <v>152</v>
      </c>
      <c r="E415" s="93"/>
      <c r="F415" s="93">
        <v>742800000</v>
      </c>
      <c r="G415" s="93"/>
      <c r="H415" s="94" t="s">
        <v>487</v>
      </c>
      <c r="I415" s="76" t="s">
        <v>511</v>
      </c>
      <c r="J415" s="124">
        <v>2</v>
      </c>
      <c r="K415" s="124">
        <v>3</v>
      </c>
      <c r="L415" s="124">
        <v>9</v>
      </c>
      <c r="M415" s="91">
        <f t="shared" si="112"/>
        <v>1</v>
      </c>
      <c r="N415" s="98" t="s">
        <v>64</v>
      </c>
      <c r="O415" s="99" t="s">
        <v>65</v>
      </c>
      <c r="P415" s="100">
        <f t="shared" si="109"/>
        <v>1</v>
      </c>
      <c r="Q415" s="101">
        <f t="shared" si="113"/>
        <v>742800000</v>
      </c>
      <c r="R415" s="101">
        <f t="shared" si="114"/>
        <v>742800000</v>
      </c>
      <c r="S415" s="102" t="s">
        <v>56</v>
      </c>
      <c r="T415" s="98">
        <f t="shared" si="110"/>
        <v>0</v>
      </c>
      <c r="U415" s="27" t="str">
        <f t="shared" ref="U415:U479" si="115">IF(ISBLANK(N415),"","SUBDIRECCION DE GESTION CONTRACTUAL")</f>
        <v>SUBDIRECCION DE GESTION CONTRACTUAL</v>
      </c>
      <c r="V415" s="91" t="str">
        <f t="shared" ref="V415:V479" si="116">IF(ISBLANK(N415),"","CO-DC")</f>
        <v>CO-DC</v>
      </c>
      <c r="W415" s="27" t="str">
        <f t="shared" ref="W415:W479" si="117">IF(ISBLANK(N415),"","Distrito Capital de Bogotá")</f>
        <v>Distrito Capital de Bogotá</v>
      </c>
      <c r="X415" s="103" t="s">
        <v>489</v>
      </c>
      <c r="Y415" s="91">
        <v>2427400</v>
      </c>
      <c r="Z415" s="85" t="s">
        <v>490</v>
      </c>
    </row>
    <row r="416" spans="1:26" s="5" customFormat="1" ht="12.75" hidden="1" customHeight="1" x14ac:dyDescent="0.25">
      <c r="A416" s="90" t="s">
        <v>485</v>
      </c>
      <c r="B416" s="91">
        <v>16</v>
      </c>
      <c r="C416" s="92" t="s">
        <v>512</v>
      </c>
      <c r="D416" s="92" t="s">
        <v>505</v>
      </c>
      <c r="E416" s="93"/>
      <c r="F416" s="93">
        <v>54798795</v>
      </c>
      <c r="G416" s="93"/>
      <c r="H416" s="94" t="s">
        <v>487</v>
      </c>
      <c r="I416" s="76" t="s">
        <v>513</v>
      </c>
      <c r="J416" s="124">
        <v>2</v>
      </c>
      <c r="K416" s="124">
        <v>3</v>
      </c>
      <c r="L416" s="124">
        <v>9</v>
      </c>
      <c r="M416" s="91">
        <f t="shared" si="112"/>
        <v>1</v>
      </c>
      <c r="N416" s="98" t="s">
        <v>64</v>
      </c>
      <c r="O416" s="99" t="s">
        <v>65</v>
      </c>
      <c r="P416" s="100">
        <f t="shared" si="109"/>
        <v>1</v>
      </c>
      <c r="Q416" s="101">
        <f t="shared" si="113"/>
        <v>54798795</v>
      </c>
      <c r="R416" s="101">
        <f t="shared" si="114"/>
        <v>54798795</v>
      </c>
      <c r="S416" s="102" t="s">
        <v>56</v>
      </c>
      <c r="T416" s="98">
        <f t="shared" si="110"/>
        <v>0</v>
      </c>
      <c r="U416" s="27" t="str">
        <f t="shared" si="115"/>
        <v>SUBDIRECCION DE GESTION CONTRACTUAL</v>
      </c>
      <c r="V416" s="91" t="str">
        <f t="shared" si="116"/>
        <v>CO-DC</v>
      </c>
      <c r="W416" s="27" t="str">
        <f t="shared" si="117"/>
        <v>Distrito Capital de Bogotá</v>
      </c>
      <c r="X416" s="103" t="s">
        <v>489</v>
      </c>
      <c r="Y416" s="91">
        <v>2427400</v>
      </c>
      <c r="Z416" s="85" t="s">
        <v>490</v>
      </c>
    </row>
    <row r="417" spans="1:26" s="5" customFormat="1" ht="12.75" hidden="1" customHeight="1" x14ac:dyDescent="0.25">
      <c r="A417" s="90" t="s">
        <v>485</v>
      </c>
      <c r="B417" s="91">
        <v>17</v>
      </c>
      <c r="C417" s="92" t="s">
        <v>512</v>
      </c>
      <c r="D417" s="92" t="s">
        <v>505</v>
      </c>
      <c r="E417" s="93"/>
      <c r="F417" s="93">
        <v>81548796</v>
      </c>
      <c r="G417" s="93"/>
      <c r="H417" s="94" t="s">
        <v>487</v>
      </c>
      <c r="I417" s="76" t="s">
        <v>514</v>
      </c>
      <c r="J417" s="124">
        <v>2</v>
      </c>
      <c r="K417" s="124">
        <v>3</v>
      </c>
      <c r="L417" s="124">
        <v>9</v>
      </c>
      <c r="M417" s="91">
        <f t="shared" si="112"/>
        <v>1</v>
      </c>
      <c r="N417" s="98" t="s">
        <v>64</v>
      </c>
      <c r="O417" s="99" t="s">
        <v>65</v>
      </c>
      <c r="P417" s="100">
        <f t="shared" si="109"/>
        <v>1</v>
      </c>
      <c r="Q417" s="101">
        <f t="shared" si="113"/>
        <v>81548796</v>
      </c>
      <c r="R417" s="101">
        <f t="shared" si="114"/>
        <v>81548796</v>
      </c>
      <c r="S417" s="102" t="s">
        <v>56</v>
      </c>
      <c r="T417" s="98">
        <f t="shared" si="110"/>
        <v>0</v>
      </c>
      <c r="U417" s="27" t="str">
        <f t="shared" si="115"/>
        <v>SUBDIRECCION DE GESTION CONTRACTUAL</v>
      </c>
      <c r="V417" s="91" t="str">
        <f t="shared" si="116"/>
        <v>CO-DC</v>
      </c>
      <c r="W417" s="27" t="str">
        <f t="shared" si="117"/>
        <v>Distrito Capital de Bogotá</v>
      </c>
      <c r="X417" s="103" t="s">
        <v>489</v>
      </c>
      <c r="Y417" s="91">
        <v>2427400</v>
      </c>
      <c r="Z417" s="85" t="s">
        <v>490</v>
      </c>
    </row>
    <row r="418" spans="1:26" s="5" customFormat="1" ht="12.75" hidden="1" customHeight="1" x14ac:dyDescent="0.25">
      <c r="A418" s="90" t="s">
        <v>485</v>
      </c>
      <c r="B418" s="91">
        <v>18</v>
      </c>
      <c r="C418" s="92" t="s">
        <v>512</v>
      </c>
      <c r="D418" s="92" t="s">
        <v>152</v>
      </c>
      <c r="E418" s="93"/>
      <c r="F418" s="93">
        <v>3625228068</v>
      </c>
      <c r="G418" s="93"/>
      <c r="H418" s="94" t="s">
        <v>487</v>
      </c>
      <c r="I418" s="76" t="s">
        <v>515</v>
      </c>
      <c r="J418" s="124">
        <v>2</v>
      </c>
      <c r="K418" s="124">
        <v>3</v>
      </c>
      <c r="L418" s="124">
        <v>9</v>
      </c>
      <c r="M418" s="91">
        <f t="shared" si="112"/>
        <v>1</v>
      </c>
      <c r="N418" s="98" t="s">
        <v>64</v>
      </c>
      <c r="O418" s="99" t="s">
        <v>65</v>
      </c>
      <c r="P418" s="100">
        <f t="shared" si="109"/>
        <v>1</v>
      </c>
      <c r="Q418" s="101">
        <f t="shared" si="113"/>
        <v>3625228068</v>
      </c>
      <c r="R418" s="101">
        <f t="shared" si="114"/>
        <v>3625228068</v>
      </c>
      <c r="S418" s="102" t="s">
        <v>56</v>
      </c>
      <c r="T418" s="98">
        <f t="shared" si="110"/>
        <v>0</v>
      </c>
      <c r="U418" s="27" t="str">
        <f t="shared" si="115"/>
        <v>SUBDIRECCION DE GESTION CONTRACTUAL</v>
      </c>
      <c r="V418" s="91" t="str">
        <f t="shared" si="116"/>
        <v>CO-DC</v>
      </c>
      <c r="W418" s="27" t="str">
        <f t="shared" si="117"/>
        <v>Distrito Capital de Bogotá</v>
      </c>
      <c r="X418" s="103" t="s">
        <v>489</v>
      </c>
      <c r="Y418" s="91">
        <v>2427400</v>
      </c>
      <c r="Z418" s="85" t="s">
        <v>490</v>
      </c>
    </row>
    <row r="419" spans="1:26" s="5" customFormat="1" ht="12.75" hidden="1" customHeight="1" x14ac:dyDescent="0.25">
      <c r="A419" s="90" t="s">
        <v>485</v>
      </c>
      <c r="B419" s="91">
        <v>19</v>
      </c>
      <c r="C419" s="92" t="s">
        <v>512</v>
      </c>
      <c r="D419" s="92" t="s">
        <v>505</v>
      </c>
      <c r="E419" s="93"/>
      <c r="F419" s="93">
        <v>707908984</v>
      </c>
      <c r="G419" s="93"/>
      <c r="H419" s="94" t="s">
        <v>487</v>
      </c>
      <c r="I419" s="76" t="s">
        <v>516</v>
      </c>
      <c r="J419" s="124">
        <v>2</v>
      </c>
      <c r="K419" s="124">
        <v>3</v>
      </c>
      <c r="L419" s="124">
        <v>9</v>
      </c>
      <c r="M419" s="91">
        <f t="shared" si="112"/>
        <v>1</v>
      </c>
      <c r="N419" s="98" t="s">
        <v>64</v>
      </c>
      <c r="O419" s="99" t="s">
        <v>65</v>
      </c>
      <c r="P419" s="100">
        <f t="shared" si="109"/>
        <v>1</v>
      </c>
      <c r="Q419" s="101">
        <f t="shared" si="113"/>
        <v>707908984</v>
      </c>
      <c r="R419" s="101">
        <f t="shared" si="114"/>
        <v>707908984</v>
      </c>
      <c r="S419" s="102" t="s">
        <v>56</v>
      </c>
      <c r="T419" s="98">
        <f t="shared" si="110"/>
        <v>0</v>
      </c>
      <c r="U419" s="27" t="str">
        <f t="shared" si="115"/>
        <v>SUBDIRECCION DE GESTION CONTRACTUAL</v>
      </c>
      <c r="V419" s="91" t="str">
        <f t="shared" si="116"/>
        <v>CO-DC</v>
      </c>
      <c r="W419" s="27" t="str">
        <f t="shared" si="117"/>
        <v>Distrito Capital de Bogotá</v>
      </c>
      <c r="X419" s="103" t="s">
        <v>489</v>
      </c>
      <c r="Y419" s="91">
        <v>2427400</v>
      </c>
      <c r="Z419" s="85" t="s">
        <v>490</v>
      </c>
    </row>
    <row r="420" spans="1:26" s="5" customFormat="1" ht="12.75" hidden="1" customHeight="1" x14ac:dyDescent="0.25">
      <c r="A420" s="90" t="s">
        <v>485</v>
      </c>
      <c r="B420" s="91">
        <v>20</v>
      </c>
      <c r="C420" s="92" t="s">
        <v>512</v>
      </c>
      <c r="D420" s="92" t="s">
        <v>505</v>
      </c>
      <c r="E420" s="93"/>
      <c r="F420" s="93">
        <v>239070300</v>
      </c>
      <c r="G420" s="93"/>
      <c r="H420" s="94" t="s">
        <v>487</v>
      </c>
      <c r="I420" s="76" t="s">
        <v>517</v>
      </c>
      <c r="J420" s="124">
        <v>2</v>
      </c>
      <c r="K420" s="124">
        <v>3</v>
      </c>
      <c r="L420" s="124">
        <v>9</v>
      </c>
      <c r="M420" s="91">
        <f t="shared" si="112"/>
        <v>1</v>
      </c>
      <c r="N420" s="98" t="s">
        <v>64</v>
      </c>
      <c r="O420" s="99" t="s">
        <v>65</v>
      </c>
      <c r="P420" s="100">
        <f t="shared" si="109"/>
        <v>1</v>
      </c>
      <c r="Q420" s="101">
        <f t="shared" si="113"/>
        <v>239070300</v>
      </c>
      <c r="R420" s="101">
        <f t="shared" si="114"/>
        <v>239070300</v>
      </c>
      <c r="S420" s="102" t="s">
        <v>56</v>
      </c>
      <c r="T420" s="98">
        <f t="shared" si="110"/>
        <v>0</v>
      </c>
      <c r="U420" s="27" t="str">
        <f t="shared" si="115"/>
        <v>SUBDIRECCION DE GESTION CONTRACTUAL</v>
      </c>
      <c r="V420" s="91" t="str">
        <f t="shared" si="116"/>
        <v>CO-DC</v>
      </c>
      <c r="W420" s="27" t="str">
        <f t="shared" si="117"/>
        <v>Distrito Capital de Bogotá</v>
      </c>
      <c r="X420" s="103" t="s">
        <v>489</v>
      </c>
      <c r="Y420" s="91">
        <v>2427400</v>
      </c>
      <c r="Z420" s="85" t="s">
        <v>490</v>
      </c>
    </row>
    <row r="421" spans="1:26" s="5" customFormat="1" ht="12.75" hidden="1" customHeight="1" x14ac:dyDescent="0.25">
      <c r="A421" s="90" t="s">
        <v>485</v>
      </c>
      <c r="B421" s="91">
        <v>21</v>
      </c>
      <c r="C421" s="92" t="s">
        <v>518</v>
      </c>
      <c r="D421" s="92" t="s">
        <v>505</v>
      </c>
      <c r="E421" s="93"/>
      <c r="F421" s="93">
        <v>377537308</v>
      </c>
      <c r="G421" s="93"/>
      <c r="H421" s="94" t="s">
        <v>487</v>
      </c>
      <c r="I421" s="76" t="s">
        <v>519</v>
      </c>
      <c r="J421" s="124">
        <v>2</v>
      </c>
      <c r="K421" s="124">
        <v>3</v>
      </c>
      <c r="L421" s="124">
        <v>9</v>
      </c>
      <c r="M421" s="91">
        <f t="shared" si="112"/>
        <v>1</v>
      </c>
      <c r="N421" s="98" t="s">
        <v>64</v>
      </c>
      <c r="O421" s="99" t="s">
        <v>65</v>
      </c>
      <c r="P421" s="100">
        <f t="shared" si="109"/>
        <v>1</v>
      </c>
      <c r="Q421" s="101">
        <f t="shared" si="113"/>
        <v>377537308</v>
      </c>
      <c r="R421" s="101">
        <f t="shared" si="114"/>
        <v>377537308</v>
      </c>
      <c r="S421" s="102" t="s">
        <v>56</v>
      </c>
      <c r="T421" s="98">
        <f t="shared" si="110"/>
        <v>0</v>
      </c>
      <c r="U421" s="27" t="str">
        <f t="shared" si="115"/>
        <v>SUBDIRECCION DE GESTION CONTRACTUAL</v>
      </c>
      <c r="V421" s="91" t="str">
        <f t="shared" si="116"/>
        <v>CO-DC</v>
      </c>
      <c r="W421" s="27" t="str">
        <f t="shared" si="117"/>
        <v>Distrito Capital de Bogotá</v>
      </c>
      <c r="X421" s="103" t="s">
        <v>489</v>
      </c>
      <c r="Y421" s="91">
        <v>2427400</v>
      </c>
      <c r="Z421" s="85" t="s">
        <v>490</v>
      </c>
    </row>
    <row r="422" spans="1:26" s="5" customFormat="1" ht="12.75" hidden="1" customHeight="1" x14ac:dyDescent="0.25">
      <c r="A422" s="90" t="s">
        <v>485</v>
      </c>
      <c r="B422" s="91">
        <v>22</v>
      </c>
      <c r="C422" s="92" t="s">
        <v>518</v>
      </c>
      <c r="D422" s="92" t="s">
        <v>505</v>
      </c>
      <c r="E422" s="93"/>
      <c r="F422" s="93">
        <v>57388638</v>
      </c>
      <c r="G422" s="93"/>
      <c r="H422" s="94" t="s">
        <v>487</v>
      </c>
      <c r="I422" s="76" t="s">
        <v>520</v>
      </c>
      <c r="J422" s="124">
        <v>2</v>
      </c>
      <c r="K422" s="124">
        <v>3</v>
      </c>
      <c r="L422" s="124">
        <v>9</v>
      </c>
      <c r="M422" s="91">
        <f t="shared" si="112"/>
        <v>1</v>
      </c>
      <c r="N422" s="98" t="s">
        <v>64</v>
      </c>
      <c r="O422" s="99" t="s">
        <v>65</v>
      </c>
      <c r="P422" s="100">
        <f t="shared" si="109"/>
        <v>1</v>
      </c>
      <c r="Q422" s="101">
        <f t="shared" si="113"/>
        <v>57388638</v>
      </c>
      <c r="R422" s="101">
        <f t="shared" si="114"/>
        <v>57388638</v>
      </c>
      <c r="S422" s="102" t="s">
        <v>56</v>
      </c>
      <c r="T422" s="98">
        <f t="shared" si="110"/>
        <v>0</v>
      </c>
      <c r="U422" s="27" t="str">
        <f t="shared" si="115"/>
        <v>SUBDIRECCION DE GESTION CONTRACTUAL</v>
      </c>
      <c r="V422" s="91" t="str">
        <f t="shared" si="116"/>
        <v>CO-DC</v>
      </c>
      <c r="W422" s="27" t="str">
        <f t="shared" si="117"/>
        <v>Distrito Capital de Bogotá</v>
      </c>
      <c r="X422" s="103" t="s">
        <v>489</v>
      </c>
      <c r="Y422" s="91">
        <v>2427400</v>
      </c>
      <c r="Z422" s="85" t="s">
        <v>490</v>
      </c>
    </row>
    <row r="423" spans="1:26" s="5" customFormat="1" ht="12.75" hidden="1" customHeight="1" x14ac:dyDescent="0.25">
      <c r="A423" s="90" t="s">
        <v>485</v>
      </c>
      <c r="B423" s="91">
        <v>23</v>
      </c>
      <c r="C423" s="92" t="s">
        <v>518</v>
      </c>
      <c r="D423" s="92" t="s">
        <v>505</v>
      </c>
      <c r="E423" s="93"/>
      <c r="F423" s="93">
        <v>132529770</v>
      </c>
      <c r="G423" s="93"/>
      <c r="H423" s="94" t="s">
        <v>487</v>
      </c>
      <c r="I423" s="76" t="s">
        <v>521</v>
      </c>
      <c r="J423" s="124">
        <v>2</v>
      </c>
      <c r="K423" s="124">
        <v>3</v>
      </c>
      <c r="L423" s="124">
        <v>9</v>
      </c>
      <c r="M423" s="91">
        <f t="shared" si="112"/>
        <v>1</v>
      </c>
      <c r="N423" s="98" t="s">
        <v>64</v>
      </c>
      <c r="O423" s="99" t="s">
        <v>65</v>
      </c>
      <c r="P423" s="100">
        <f t="shared" si="109"/>
        <v>1</v>
      </c>
      <c r="Q423" s="101">
        <f t="shared" si="113"/>
        <v>132529770</v>
      </c>
      <c r="R423" s="101">
        <f t="shared" si="114"/>
        <v>132529770</v>
      </c>
      <c r="S423" s="102" t="s">
        <v>56</v>
      </c>
      <c r="T423" s="98">
        <f t="shared" si="110"/>
        <v>0</v>
      </c>
      <c r="U423" s="27" t="str">
        <f t="shared" si="115"/>
        <v>SUBDIRECCION DE GESTION CONTRACTUAL</v>
      </c>
      <c r="V423" s="91" t="str">
        <f t="shared" si="116"/>
        <v>CO-DC</v>
      </c>
      <c r="W423" s="27" t="str">
        <f t="shared" si="117"/>
        <v>Distrito Capital de Bogotá</v>
      </c>
      <c r="X423" s="103" t="s">
        <v>489</v>
      </c>
      <c r="Y423" s="91">
        <v>2427400</v>
      </c>
      <c r="Z423" s="85" t="s">
        <v>490</v>
      </c>
    </row>
    <row r="424" spans="1:26" s="5" customFormat="1" ht="12.75" hidden="1" customHeight="1" x14ac:dyDescent="0.25">
      <c r="A424" s="90" t="s">
        <v>485</v>
      </c>
      <c r="B424" s="91">
        <v>24</v>
      </c>
      <c r="C424" s="92" t="s">
        <v>518</v>
      </c>
      <c r="D424" s="92" t="s">
        <v>152</v>
      </c>
      <c r="E424" s="93"/>
      <c r="F424" s="93">
        <v>300000000</v>
      </c>
      <c r="G424" s="93"/>
      <c r="H424" s="94" t="s">
        <v>487</v>
      </c>
      <c r="I424" s="76" t="s">
        <v>522</v>
      </c>
      <c r="J424" s="124">
        <v>2</v>
      </c>
      <c r="K424" s="124">
        <v>3</v>
      </c>
      <c r="L424" s="124">
        <v>9</v>
      </c>
      <c r="M424" s="91">
        <f t="shared" si="112"/>
        <v>1</v>
      </c>
      <c r="N424" s="98" t="s">
        <v>64</v>
      </c>
      <c r="O424" s="99" t="s">
        <v>65</v>
      </c>
      <c r="P424" s="100">
        <f t="shared" si="109"/>
        <v>1</v>
      </c>
      <c r="Q424" s="101">
        <f t="shared" si="113"/>
        <v>300000000</v>
      </c>
      <c r="R424" s="101">
        <f t="shared" si="114"/>
        <v>300000000</v>
      </c>
      <c r="S424" s="102" t="s">
        <v>56</v>
      </c>
      <c r="T424" s="98">
        <f t="shared" si="110"/>
        <v>0</v>
      </c>
      <c r="U424" s="27" t="str">
        <f t="shared" si="115"/>
        <v>SUBDIRECCION DE GESTION CONTRACTUAL</v>
      </c>
      <c r="V424" s="91" t="str">
        <f t="shared" si="116"/>
        <v>CO-DC</v>
      </c>
      <c r="W424" s="27" t="str">
        <f t="shared" si="117"/>
        <v>Distrito Capital de Bogotá</v>
      </c>
      <c r="X424" s="103" t="s">
        <v>489</v>
      </c>
      <c r="Y424" s="91">
        <v>2427400</v>
      </c>
      <c r="Z424" s="85" t="s">
        <v>490</v>
      </c>
    </row>
    <row r="425" spans="1:26" s="63" customFormat="1" ht="15" hidden="1" customHeight="1" x14ac:dyDescent="0.25">
      <c r="A425" s="90" t="s">
        <v>485</v>
      </c>
      <c r="B425" s="91">
        <v>25</v>
      </c>
      <c r="C425" s="92" t="s">
        <v>486</v>
      </c>
      <c r="D425" s="92" t="s">
        <v>152</v>
      </c>
      <c r="E425" s="93"/>
      <c r="F425" s="93">
        <v>75000000</v>
      </c>
      <c r="G425" s="93"/>
      <c r="H425" s="94" t="s">
        <v>91</v>
      </c>
      <c r="I425" s="76" t="s">
        <v>523</v>
      </c>
      <c r="J425" s="104">
        <v>11</v>
      </c>
      <c r="K425" s="104">
        <v>11</v>
      </c>
      <c r="L425" s="124">
        <v>2</v>
      </c>
      <c r="M425" s="91">
        <f t="shared" si="112"/>
        <v>1</v>
      </c>
      <c r="N425" s="98" t="s">
        <v>87</v>
      </c>
      <c r="O425" s="99" t="s">
        <v>88</v>
      </c>
      <c r="P425" s="100">
        <f t="shared" si="109"/>
        <v>1</v>
      </c>
      <c r="Q425" s="101">
        <f t="shared" si="113"/>
        <v>75000000</v>
      </c>
      <c r="R425" s="101">
        <f t="shared" si="114"/>
        <v>75000000</v>
      </c>
      <c r="S425" s="102" t="s">
        <v>56</v>
      </c>
      <c r="T425" s="98">
        <f t="shared" si="110"/>
        <v>0</v>
      </c>
      <c r="U425" s="27" t="str">
        <f t="shared" si="115"/>
        <v>SUBDIRECCION DE GESTION CONTRACTUAL</v>
      </c>
      <c r="V425" s="91" t="str">
        <f t="shared" si="116"/>
        <v>CO-DC</v>
      </c>
      <c r="W425" s="27" t="str">
        <f t="shared" si="117"/>
        <v>Distrito Capital de Bogotá</v>
      </c>
      <c r="X425" s="103" t="s">
        <v>89</v>
      </c>
      <c r="Y425" s="91">
        <v>2427400</v>
      </c>
      <c r="Z425" s="85" t="s">
        <v>90</v>
      </c>
    </row>
    <row r="426" spans="1:26" s="5" customFormat="1" ht="12.75" hidden="1" customHeight="1" x14ac:dyDescent="0.2">
      <c r="A426" s="90" t="s">
        <v>524</v>
      </c>
      <c r="B426" s="91">
        <v>1</v>
      </c>
      <c r="C426" s="92" t="s">
        <v>525</v>
      </c>
      <c r="D426" s="92" t="s">
        <v>526</v>
      </c>
      <c r="E426" s="93"/>
      <c r="F426" s="93">
        <f>81890738+105693925-62553321</f>
        <v>125031342</v>
      </c>
      <c r="G426" s="93"/>
      <c r="H426" s="94">
        <v>80111600</v>
      </c>
      <c r="I426" s="76" t="s">
        <v>527</v>
      </c>
      <c r="J426" s="124">
        <v>1</v>
      </c>
      <c r="K426" s="124">
        <v>1</v>
      </c>
      <c r="L426" s="124">
        <v>12</v>
      </c>
      <c r="M426" s="91">
        <v>1</v>
      </c>
      <c r="N426" s="98" t="s">
        <v>54</v>
      </c>
      <c r="O426" s="99" t="s">
        <v>55</v>
      </c>
      <c r="P426" s="100">
        <v>1</v>
      </c>
      <c r="Q426" s="101">
        <f t="shared" si="113"/>
        <v>125031342</v>
      </c>
      <c r="R426" s="101">
        <f t="shared" si="114"/>
        <v>125031342</v>
      </c>
      <c r="S426" s="169">
        <v>0</v>
      </c>
      <c r="T426" s="98">
        <v>0</v>
      </c>
      <c r="U426" s="27" t="str">
        <f t="shared" si="115"/>
        <v>SUBDIRECCION DE GESTION CONTRACTUAL</v>
      </c>
      <c r="V426" s="91" t="str">
        <f t="shared" si="116"/>
        <v>CO-DC</v>
      </c>
      <c r="W426" s="27" t="str">
        <f t="shared" si="117"/>
        <v>Distrito Capital de Bogotá</v>
      </c>
      <c r="X426" s="103" t="s">
        <v>528</v>
      </c>
      <c r="Y426" s="91">
        <v>2427400</v>
      </c>
      <c r="Z426" s="105" t="s">
        <v>529</v>
      </c>
    </row>
    <row r="427" spans="1:26" s="5" customFormat="1" ht="12.75" hidden="1" customHeight="1" x14ac:dyDescent="0.2">
      <c r="A427" s="90" t="s">
        <v>524</v>
      </c>
      <c r="B427" s="91">
        <v>2</v>
      </c>
      <c r="C427" s="92" t="s">
        <v>525</v>
      </c>
      <c r="D427" s="92" t="s">
        <v>530</v>
      </c>
      <c r="E427" s="93"/>
      <c r="F427" s="93">
        <f>54593836+241598471-130170769</f>
        <v>166021538</v>
      </c>
      <c r="G427" s="93"/>
      <c r="H427" s="94">
        <v>80111600</v>
      </c>
      <c r="I427" s="76" t="s">
        <v>527</v>
      </c>
      <c r="J427" s="124">
        <v>1</v>
      </c>
      <c r="K427" s="124">
        <v>1</v>
      </c>
      <c r="L427" s="124">
        <v>12</v>
      </c>
      <c r="M427" s="91">
        <v>1</v>
      </c>
      <c r="N427" s="98" t="s">
        <v>54</v>
      </c>
      <c r="O427" s="99" t="s">
        <v>55</v>
      </c>
      <c r="P427" s="100">
        <v>1</v>
      </c>
      <c r="Q427" s="101">
        <f t="shared" si="113"/>
        <v>166021538</v>
      </c>
      <c r="R427" s="101">
        <f t="shared" si="114"/>
        <v>166021538</v>
      </c>
      <c r="S427" s="169">
        <v>0</v>
      </c>
      <c r="T427" s="98">
        <v>0</v>
      </c>
      <c r="U427" s="27" t="str">
        <f t="shared" si="115"/>
        <v>SUBDIRECCION DE GESTION CONTRACTUAL</v>
      </c>
      <c r="V427" s="91" t="str">
        <f t="shared" si="116"/>
        <v>CO-DC</v>
      </c>
      <c r="W427" s="27" t="str">
        <f t="shared" si="117"/>
        <v>Distrito Capital de Bogotá</v>
      </c>
      <c r="X427" s="103" t="s">
        <v>528</v>
      </c>
      <c r="Y427" s="91">
        <v>2427400</v>
      </c>
      <c r="Z427" s="105" t="s">
        <v>529</v>
      </c>
    </row>
    <row r="428" spans="1:26" s="5" customFormat="1" ht="12.75" hidden="1" customHeight="1" x14ac:dyDescent="0.2">
      <c r="A428" s="90" t="s">
        <v>524</v>
      </c>
      <c r="B428" s="91">
        <v>3</v>
      </c>
      <c r="C428" s="92" t="s">
        <v>525</v>
      </c>
      <c r="D428" s="92" t="s">
        <v>531</v>
      </c>
      <c r="E428" s="93"/>
      <c r="F428" s="93">
        <v>81890752</v>
      </c>
      <c r="G428" s="93"/>
      <c r="H428" s="94">
        <v>80111600</v>
      </c>
      <c r="I428" s="76" t="s">
        <v>527</v>
      </c>
      <c r="J428" s="124">
        <v>1</v>
      </c>
      <c r="K428" s="124">
        <v>1</v>
      </c>
      <c r="L428" s="124">
        <v>12</v>
      </c>
      <c r="M428" s="91">
        <v>1</v>
      </c>
      <c r="N428" s="98" t="s">
        <v>54</v>
      </c>
      <c r="O428" s="99" t="s">
        <v>55</v>
      </c>
      <c r="P428" s="100">
        <v>1</v>
      </c>
      <c r="Q428" s="101">
        <f t="shared" si="113"/>
        <v>81890752</v>
      </c>
      <c r="R428" s="101">
        <f t="shared" si="114"/>
        <v>81890752</v>
      </c>
      <c r="S428" s="169">
        <v>0</v>
      </c>
      <c r="T428" s="98">
        <v>0</v>
      </c>
      <c r="U428" s="27" t="str">
        <f t="shared" si="115"/>
        <v>SUBDIRECCION DE GESTION CONTRACTUAL</v>
      </c>
      <c r="V428" s="91" t="str">
        <f t="shared" si="116"/>
        <v>CO-DC</v>
      </c>
      <c r="W428" s="27" t="str">
        <f t="shared" si="117"/>
        <v>Distrito Capital de Bogotá</v>
      </c>
      <c r="X428" s="103" t="s">
        <v>528</v>
      </c>
      <c r="Y428" s="91">
        <v>2427400</v>
      </c>
      <c r="Z428" s="105" t="s">
        <v>529</v>
      </c>
    </row>
    <row r="429" spans="1:26" s="5" customFormat="1" ht="12.75" hidden="1" customHeight="1" x14ac:dyDescent="0.2">
      <c r="A429" s="90" t="s">
        <v>524</v>
      </c>
      <c r="B429" s="91">
        <v>4</v>
      </c>
      <c r="C429" s="92" t="s">
        <v>525</v>
      </c>
      <c r="D429" s="92" t="s">
        <v>532</v>
      </c>
      <c r="E429" s="93"/>
      <c r="F429" s="93">
        <f>54593836-5340000</f>
        <v>49253836</v>
      </c>
      <c r="G429" s="93"/>
      <c r="H429" s="94">
        <v>80111600</v>
      </c>
      <c r="I429" s="76" t="s">
        <v>527</v>
      </c>
      <c r="J429" s="124">
        <v>1</v>
      </c>
      <c r="K429" s="124">
        <v>1</v>
      </c>
      <c r="L429" s="124">
        <v>12</v>
      </c>
      <c r="M429" s="91">
        <v>1</v>
      </c>
      <c r="N429" s="98" t="s">
        <v>54</v>
      </c>
      <c r="O429" s="99" t="s">
        <v>55</v>
      </c>
      <c r="P429" s="100">
        <v>1</v>
      </c>
      <c r="Q429" s="101">
        <f t="shared" si="113"/>
        <v>49253836</v>
      </c>
      <c r="R429" s="101">
        <f t="shared" si="114"/>
        <v>49253836</v>
      </c>
      <c r="S429" s="169">
        <v>0</v>
      </c>
      <c r="T429" s="98">
        <v>0</v>
      </c>
      <c r="U429" s="27" t="str">
        <f t="shared" si="115"/>
        <v>SUBDIRECCION DE GESTION CONTRACTUAL</v>
      </c>
      <c r="V429" s="91" t="str">
        <f t="shared" si="116"/>
        <v>CO-DC</v>
      </c>
      <c r="W429" s="27" t="str">
        <f t="shared" si="117"/>
        <v>Distrito Capital de Bogotá</v>
      </c>
      <c r="X429" s="103" t="s">
        <v>528</v>
      </c>
      <c r="Y429" s="91">
        <v>2427400</v>
      </c>
      <c r="Z429" s="105" t="s">
        <v>529</v>
      </c>
    </row>
    <row r="430" spans="1:26" s="5" customFormat="1" ht="12.75" hidden="1" customHeight="1" x14ac:dyDescent="0.2">
      <c r="A430" s="90" t="s">
        <v>524</v>
      </c>
      <c r="B430" s="91">
        <v>5</v>
      </c>
      <c r="C430" s="92" t="s">
        <v>533</v>
      </c>
      <c r="D430" s="92" t="s">
        <v>534</v>
      </c>
      <c r="E430" s="93"/>
      <c r="F430" s="93">
        <f>130088818+213220519-88819358</f>
        <v>254489979</v>
      </c>
      <c r="G430" s="93"/>
      <c r="H430" s="94">
        <v>80111600</v>
      </c>
      <c r="I430" s="76" t="s">
        <v>527</v>
      </c>
      <c r="J430" s="124">
        <v>1</v>
      </c>
      <c r="K430" s="124">
        <v>1</v>
      </c>
      <c r="L430" s="124">
        <v>12</v>
      </c>
      <c r="M430" s="91">
        <v>1</v>
      </c>
      <c r="N430" s="98" t="s">
        <v>54</v>
      </c>
      <c r="O430" s="99" t="s">
        <v>55</v>
      </c>
      <c r="P430" s="100">
        <v>1</v>
      </c>
      <c r="Q430" s="101">
        <f t="shared" si="113"/>
        <v>254489979</v>
      </c>
      <c r="R430" s="101">
        <f t="shared" si="114"/>
        <v>254489979</v>
      </c>
      <c r="S430" s="169">
        <v>0</v>
      </c>
      <c r="T430" s="98">
        <v>0</v>
      </c>
      <c r="U430" s="27" t="str">
        <f t="shared" si="115"/>
        <v>SUBDIRECCION DE GESTION CONTRACTUAL</v>
      </c>
      <c r="V430" s="91" t="str">
        <f t="shared" si="116"/>
        <v>CO-DC</v>
      </c>
      <c r="W430" s="27" t="str">
        <f t="shared" si="117"/>
        <v>Distrito Capital de Bogotá</v>
      </c>
      <c r="X430" s="103" t="s">
        <v>528</v>
      </c>
      <c r="Y430" s="91">
        <v>2427400</v>
      </c>
      <c r="Z430" s="105" t="s">
        <v>529</v>
      </c>
    </row>
    <row r="431" spans="1:26" s="5" customFormat="1" ht="12.75" hidden="1" customHeight="1" x14ac:dyDescent="0.2">
      <c r="A431" s="90" t="s">
        <v>524</v>
      </c>
      <c r="B431" s="91">
        <v>6</v>
      </c>
      <c r="C431" s="92" t="s">
        <v>533</v>
      </c>
      <c r="D431" s="92" t="s">
        <v>535</v>
      </c>
      <c r="E431" s="93"/>
      <c r="F431" s="93">
        <v>86725872</v>
      </c>
      <c r="G431" s="93"/>
      <c r="H431" s="94">
        <v>80111600</v>
      </c>
      <c r="I431" s="76" t="s">
        <v>527</v>
      </c>
      <c r="J431" s="124">
        <v>1</v>
      </c>
      <c r="K431" s="124">
        <v>1</v>
      </c>
      <c r="L431" s="124">
        <v>12</v>
      </c>
      <c r="M431" s="91">
        <v>1</v>
      </c>
      <c r="N431" s="98" t="s">
        <v>54</v>
      </c>
      <c r="O431" s="99" t="s">
        <v>55</v>
      </c>
      <c r="P431" s="100">
        <v>1</v>
      </c>
      <c r="Q431" s="101">
        <f t="shared" si="113"/>
        <v>86725872</v>
      </c>
      <c r="R431" s="101">
        <f t="shared" si="114"/>
        <v>86725872</v>
      </c>
      <c r="S431" s="169">
        <v>0</v>
      </c>
      <c r="T431" s="98">
        <v>0</v>
      </c>
      <c r="U431" s="27" t="str">
        <f t="shared" si="115"/>
        <v>SUBDIRECCION DE GESTION CONTRACTUAL</v>
      </c>
      <c r="V431" s="91" t="str">
        <f t="shared" si="116"/>
        <v>CO-DC</v>
      </c>
      <c r="W431" s="27" t="str">
        <f t="shared" si="117"/>
        <v>Distrito Capital de Bogotá</v>
      </c>
      <c r="X431" s="103" t="s">
        <v>528</v>
      </c>
      <c r="Y431" s="91">
        <v>2427400</v>
      </c>
      <c r="Z431" s="105" t="s">
        <v>529</v>
      </c>
    </row>
    <row r="432" spans="1:26" s="5" customFormat="1" ht="12.75" hidden="1" customHeight="1" x14ac:dyDescent="0.2">
      <c r="A432" s="90" t="s">
        <v>524</v>
      </c>
      <c r="B432" s="91">
        <v>7</v>
      </c>
      <c r="C432" s="92" t="s">
        <v>533</v>
      </c>
      <c r="D432" s="92" t="s">
        <v>536</v>
      </c>
      <c r="E432" s="93"/>
      <c r="F432" s="93">
        <v>130088818</v>
      </c>
      <c r="G432" s="93"/>
      <c r="H432" s="94">
        <v>80111600</v>
      </c>
      <c r="I432" s="76" t="s">
        <v>527</v>
      </c>
      <c r="J432" s="124">
        <v>1</v>
      </c>
      <c r="K432" s="124">
        <v>1</v>
      </c>
      <c r="L432" s="124">
        <v>12</v>
      </c>
      <c r="M432" s="91">
        <v>1</v>
      </c>
      <c r="N432" s="98" t="s">
        <v>54</v>
      </c>
      <c r="O432" s="99" t="s">
        <v>55</v>
      </c>
      <c r="P432" s="100">
        <v>1</v>
      </c>
      <c r="Q432" s="101">
        <f t="shared" si="113"/>
        <v>130088818</v>
      </c>
      <c r="R432" s="101">
        <f t="shared" si="114"/>
        <v>130088818</v>
      </c>
      <c r="S432" s="169">
        <v>0</v>
      </c>
      <c r="T432" s="98">
        <v>0</v>
      </c>
      <c r="U432" s="27" t="str">
        <f t="shared" si="115"/>
        <v>SUBDIRECCION DE GESTION CONTRACTUAL</v>
      </c>
      <c r="V432" s="91" t="str">
        <f t="shared" si="116"/>
        <v>CO-DC</v>
      </c>
      <c r="W432" s="27" t="str">
        <f t="shared" si="117"/>
        <v>Distrito Capital de Bogotá</v>
      </c>
      <c r="X432" s="103" t="s">
        <v>528</v>
      </c>
      <c r="Y432" s="91">
        <v>2427400</v>
      </c>
      <c r="Z432" s="105" t="s">
        <v>529</v>
      </c>
    </row>
    <row r="433" spans="1:26" s="5" customFormat="1" ht="12.75" hidden="1" customHeight="1" x14ac:dyDescent="0.2">
      <c r="A433" s="90" t="s">
        <v>524</v>
      </c>
      <c r="B433" s="91">
        <v>8</v>
      </c>
      <c r="C433" s="92" t="s">
        <v>533</v>
      </c>
      <c r="D433" s="92" t="s">
        <v>537</v>
      </c>
      <c r="E433" s="93"/>
      <c r="F433" s="93">
        <v>86725872</v>
      </c>
      <c r="G433" s="93"/>
      <c r="H433" s="94">
        <v>80111600</v>
      </c>
      <c r="I433" s="76" t="s">
        <v>527</v>
      </c>
      <c r="J433" s="124">
        <v>1</v>
      </c>
      <c r="K433" s="124">
        <v>1</v>
      </c>
      <c r="L433" s="124">
        <v>12</v>
      </c>
      <c r="M433" s="91">
        <v>1</v>
      </c>
      <c r="N433" s="98" t="s">
        <v>54</v>
      </c>
      <c r="O433" s="99" t="s">
        <v>55</v>
      </c>
      <c r="P433" s="100">
        <v>1</v>
      </c>
      <c r="Q433" s="101">
        <f t="shared" si="113"/>
        <v>86725872</v>
      </c>
      <c r="R433" s="101">
        <f t="shared" si="114"/>
        <v>86725872</v>
      </c>
      <c r="S433" s="169">
        <v>0</v>
      </c>
      <c r="T433" s="98">
        <v>0</v>
      </c>
      <c r="U433" s="27" t="str">
        <f t="shared" si="115"/>
        <v>SUBDIRECCION DE GESTION CONTRACTUAL</v>
      </c>
      <c r="V433" s="91" t="str">
        <f t="shared" si="116"/>
        <v>CO-DC</v>
      </c>
      <c r="W433" s="27" t="str">
        <f t="shared" si="117"/>
        <v>Distrito Capital de Bogotá</v>
      </c>
      <c r="X433" s="103" t="s">
        <v>528</v>
      </c>
      <c r="Y433" s="91">
        <v>2427400</v>
      </c>
      <c r="Z433" s="105" t="s">
        <v>529</v>
      </c>
    </row>
    <row r="434" spans="1:26" s="61" customFormat="1" ht="13.9" hidden="1" customHeight="1" x14ac:dyDescent="0.2">
      <c r="A434" s="90" t="s">
        <v>524</v>
      </c>
      <c r="B434" s="91">
        <v>9</v>
      </c>
      <c r="C434" s="92" t="s">
        <v>538</v>
      </c>
      <c r="D434" s="92" t="s">
        <v>539</v>
      </c>
      <c r="E434" s="93"/>
      <c r="F434" s="93">
        <v>28379484</v>
      </c>
      <c r="G434" s="93"/>
      <c r="H434" s="94">
        <v>80111600</v>
      </c>
      <c r="I434" s="76" t="s">
        <v>527</v>
      </c>
      <c r="J434" s="124">
        <v>1</v>
      </c>
      <c r="K434" s="124">
        <v>1</v>
      </c>
      <c r="L434" s="124">
        <v>12</v>
      </c>
      <c r="M434" s="91">
        <v>1</v>
      </c>
      <c r="N434" s="98" t="s">
        <v>54</v>
      </c>
      <c r="O434" s="99" t="s">
        <v>55</v>
      </c>
      <c r="P434" s="100">
        <v>1</v>
      </c>
      <c r="Q434" s="101">
        <f t="shared" si="113"/>
        <v>28379484</v>
      </c>
      <c r="R434" s="101">
        <f t="shared" si="114"/>
        <v>28379484</v>
      </c>
      <c r="S434" s="169">
        <v>0</v>
      </c>
      <c r="T434" s="98">
        <v>0</v>
      </c>
      <c r="U434" s="27" t="str">
        <f t="shared" si="115"/>
        <v>SUBDIRECCION DE GESTION CONTRACTUAL</v>
      </c>
      <c r="V434" s="91" t="str">
        <f t="shared" si="116"/>
        <v>CO-DC</v>
      </c>
      <c r="W434" s="27" t="str">
        <f t="shared" si="117"/>
        <v>Distrito Capital de Bogotá</v>
      </c>
      <c r="X434" s="103" t="s">
        <v>528</v>
      </c>
      <c r="Y434" s="91">
        <v>2427400</v>
      </c>
      <c r="Z434" s="105" t="s">
        <v>529</v>
      </c>
    </row>
    <row r="435" spans="1:26" s="5" customFormat="1" ht="12.75" hidden="1" customHeight="1" x14ac:dyDescent="0.2">
      <c r="A435" s="90" t="s">
        <v>524</v>
      </c>
      <c r="B435" s="91">
        <v>10</v>
      </c>
      <c r="C435" s="92" t="s">
        <v>538</v>
      </c>
      <c r="D435" s="92" t="s">
        <v>540</v>
      </c>
      <c r="E435" s="93"/>
      <c r="F435" s="93">
        <v>18919652</v>
      </c>
      <c r="G435" s="93"/>
      <c r="H435" s="94">
        <v>80111600</v>
      </c>
      <c r="I435" s="76" t="s">
        <v>527</v>
      </c>
      <c r="J435" s="124">
        <v>1</v>
      </c>
      <c r="K435" s="124">
        <v>1</v>
      </c>
      <c r="L435" s="124">
        <v>12</v>
      </c>
      <c r="M435" s="91">
        <v>1</v>
      </c>
      <c r="N435" s="98" t="s">
        <v>54</v>
      </c>
      <c r="O435" s="99" t="s">
        <v>55</v>
      </c>
      <c r="P435" s="100">
        <v>1</v>
      </c>
      <c r="Q435" s="101">
        <f t="shared" si="113"/>
        <v>18919652</v>
      </c>
      <c r="R435" s="101">
        <f t="shared" si="114"/>
        <v>18919652</v>
      </c>
      <c r="S435" s="169">
        <v>0</v>
      </c>
      <c r="T435" s="98">
        <v>0</v>
      </c>
      <c r="U435" s="27" t="str">
        <f t="shared" si="115"/>
        <v>SUBDIRECCION DE GESTION CONTRACTUAL</v>
      </c>
      <c r="V435" s="91" t="str">
        <f t="shared" si="116"/>
        <v>CO-DC</v>
      </c>
      <c r="W435" s="27" t="str">
        <f t="shared" si="117"/>
        <v>Distrito Capital de Bogotá</v>
      </c>
      <c r="X435" s="103" t="s">
        <v>528</v>
      </c>
      <c r="Y435" s="91">
        <v>2427400</v>
      </c>
      <c r="Z435" s="105" t="s">
        <v>529</v>
      </c>
    </row>
    <row r="436" spans="1:26" s="5" customFormat="1" ht="12.75" hidden="1" customHeight="1" x14ac:dyDescent="0.2">
      <c r="A436" s="90" t="s">
        <v>524</v>
      </c>
      <c r="B436" s="91">
        <v>11</v>
      </c>
      <c r="C436" s="92" t="s">
        <v>538</v>
      </c>
      <c r="D436" s="92" t="s">
        <v>541</v>
      </c>
      <c r="E436" s="93"/>
      <c r="F436" s="93">
        <v>28379484</v>
      </c>
      <c r="G436" s="93"/>
      <c r="H436" s="94">
        <v>80111600</v>
      </c>
      <c r="I436" s="76" t="s">
        <v>527</v>
      </c>
      <c r="J436" s="124">
        <v>1</v>
      </c>
      <c r="K436" s="124">
        <v>1</v>
      </c>
      <c r="L436" s="124">
        <v>12</v>
      </c>
      <c r="M436" s="91">
        <v>1</v>
      </c>
      <c r="N436" s="98" t="s">
        <v>54</v>
      </c>
      <c r="O436" s="99" t="s">
        <v>55</v>
      </c>
      <c r="P436" s="100">
        <v>1</v>
      </c>
      <c r="Q436" s="101">
        <f t="shared" si="113"/>
        <v>28379484</v>
      </c>
      <c r="R436" s="101">
        <f t="shared" si="114"/>
        <v>28379484</v>
      </c>
      <c r="S436" s="169">
        <v>0</v>
      </c>
      <c r="T436" s="98">
        <v>0</v>
      </c>
      <c r="U436" s="27" t="str">
        <f t="shared" si="115"/>
        <v>SUBDIRECCION DE GESTION CONTRACTUAL</v>
      </c>
      <c r="V436" s="91" t="str">
        <f t="shared" si="116"/>
        <v>CO-DC</v>
      </c>
      <c r="W436" s="27" t="str">
        <f t="shared" si="117"/>
        <v>Distrito Capital de Bogotá</v>
      </c>
      <c r="X436" s="103" t="s">
        <v>528</v>
      </c>
      <c r="Y436" s="91">
        <v>2427400</v>
      </c>
      <c r="Z436" s="105" t="s">
        <v>529</v>
      </c>
    </row>
    <row r="437" spans="1:26" s="5" customFormat="1" ht="12.75" hidden="1" customHeight="1" x14ac:dyDescent="0.2">
      <c r="A437" s="90" t="s">
        <v>524</v>
      </c>
      <c r="B437" s="91">
        <v>12</v>
      </c>
      <c r="C437" s="92" t="s">
        <v>538</v>
      </c>
      <c r="D437" s="92" t="s">
        <v>542</v>
      </c>
      <c r="E437" s="93"/>
      <c r="F437" s="93">
        <v>18919652</v>
      </c>
      <c r="G437" s="93"/>
      <c r="H437" s="94">
        <v>80111600</v>
      </c>
      <c r="I437" s="76" t="s">
        <v>527</v>
      </c>
      <c r="J437" s="124">
        <v>1</v>
      </c>
      <c r="K437" s="124">
        <v>1</v>
      </c>
      <c r="L437" s="124">
        <v>12</v>
      </c>
      <c r="M437" s="91">
        <v>1</v>
      </c>
      <c r="N437" s="98" t="s">
        <v>54</v>
      </c>
      <c r="O437" s="99" t="s">
        <v>55</v>
      </c>
      <c r="P437" s="100">
        <v>1</v>
      </c>
      <c r="Q437" s="101">
        <f t="shared" si="113"/>
        <v>18919652</v>
      </c>
      <c r="R437" s="101">
        <f t="shared" si="114"/>
        <v>18919652</v>
      </c>
      <c r="S437" s="169">
        <v>0</v>
      </c>
      <c r="T437" s="98">
        <v>0</v>
      </c>
      <c r="U437" s="27" t="str">
        <f t="shared" si="115"/>
        <v>SUBDIRECCION DE GESTION CONTRACTUAL</v>
      </c>
      <c r="V437" s="91" t="str">
        <f t="shared" si="116"/>
        <v>CO-DC</v>
      </c>
      <c r="W437" s="27" t="str">
        <f t="shared" si="117"/>
        <v>Distrito Capital de Bogotá</v>
      </c>
      <c r="X437" s="103" t="s">
        <v>528</v>
      </c>
      <c r="Y437" s="91">
        <v>2427400</v>
      </c>
      <c r="Z437" s="105" t="s">
        <v>529</v>
      </c>
    </row>
    <row r="438" spans="1:26" s="5" customFormat="1" ht="12.75" hidden="1" customHeight="1" x14ac:dyDescent="0.2">
      <c r="A438" s="90" t="s">
        <v>524</v>
      </c>
      <c r="B438" s="91">
        <v>13</v>
      </c>
      <c r="C438" s="92" t="s">
        <v>543</v>
      </c>
      <c r="D438" s="92" t="s">
        <v>544</v>
      </c>
      <c r="E438" s="93"/>
      <c r="F438" s="93">
        <f>12327150+44341542-29217032</f>
        <v>27451660</v>
      </c>
      <c r="G438" s="93"/>
      <c r="H438" s="94">
        <v>80111600</v>
      </c>
      <c r="I438" s="76" t="s">
        <v>527</v>
      </c>
      <c r="J438" s="124">
        <v>1</v>
      </c>
      <c r="K438" s="124">
        <v>1</v>
      </c>
      <c r="L438" s="124">
        <v>12</v>
      </c>
      <c r="M438" s="91">
        <v>1</v>
      </c>
      <c r="N438" s="98" t="s">
        <v>54</v>
      </c>
      <c r="O438" s="99" t="s">
        <v>55</v>
      </c>
      <c r="P438" s="100">
        <v>1</v>
      </c>
      <c r="Q438" s="101">
        <f t="shared" si="113"/>
        <v>27451660</v>
      </c>
      <c r="R438" s="101">
        <f t="shared" si="114"/>
        <v>27451660</v>
      </c>
      <c r="S438" s="169">
        <v>0</v>
      </c>
      <c r="T438" s="98">
        <v>0</v>
      </c>
      <c r="U438" s="27" t="str">
        <f t="shared" si="115"/>
        <v>SUBDIRECCION DE GESTION CONTRACTUAL</v>
      </c>
      <c r="V438" s="91" t="str">
        <f t="shared" si="116"/>
        <v>CO-DC</v>
      </c>
      <c r="W438" s="27" t="str">
        <f t="shared" si="117"/>
        <v>Distrito Capital de Bogotá</v>
      </c>
      <c r="X438" s="103" t="s">
        <v>528</v>
      </c>
      <c r="Y438" s="91">
        <v>2427400</v>
      </c>
      <c r="Z438" s="105" t="s">
        <v>529</v>
      </c>
    </row>
    <row r="439" spans="1:26" s="5" customFormat="1" ht="12.75" hidden="1" customHeight="1" x14ac:dyDescent="0.2">
      <c r="A439" s="90" t="s">
        <v>524</v>
      </c>
      <c r="B439" s="91">
        <v>14</v>
      </c>
      <c r="C439" s="92" t="s">
        <v>543</v>
      </c>
      <c r="D439" s="92" t="s">
        <v>545</v>
      </c>
      <c r="E439" s="93"/>
      <c r="F439" s="93">
        <f>40945378+113063164-58063164</f>
        <v>95945378</v>
      </c>
      <c r="G439" s="93"/>
      <c r="H439" s="94">
        <v>80111600</v>
      </c>
      <c r="I439" s="76" t="s">
        <v>527</v>
      </c>
      <c r="J439" s="124">
        <v>1</v>
      </c>
      <c r="K439" s="124">
        <v>1</v>
      </c>
      <c r="L439" s="124">
        <v>12</v>
      </c>
      <c r="M439" s="91">
        <v>1</v>
      </c>
      <c r="N439" s="98" t="s">
        <v>54</v>
      </c>
      <c r="O439" s="99" t="s">
        <v>55</v>
      </c>
      <c r="P439" s="100">
        <v>1</v>
      </c>
      <c r="Q439" s="101">
        <f t="shared" si="113"/>
        <v>95945378</v>
      </c>
      <c r="R439" s="101">
        <f t="shared" si="114"/>
        <v>95945378</v>
      </c>
      <c r="S439" s="169">
        <v>0</v>
      </c>
      <c r="T439" s="98">
        <v>0</v>
      </c>
      <c r="U439" s="27" t="str">
        <f t="shared" si="115"/>
        <v>SUBDIRECCION DE GESTION CONTRACTUAL</v>
      </c>
      <c r="V439" s="91" t="str">
        <f t="shared" si="116"/>
        <v>CO-DC</v>
      </c>
      <c r="W439" s="27" t="str">
        <f t="shared" si="117"/>
        <v>Distrito Capital de Bogotá</v>
      </c>
      <c r="X439" s="103" t="s">
        <v>528</v>
      </c>
      <c r="Y439" s="91">
        <v>2427400</v>
      </c>
      <c r="Z439" s="105" t="s">
        <v>529</v>
      </c>
    </row>
    <row r="440" spans="1:26" s="5" customFormat="1" ht="12.75" hidden="1" customHeight="1" x14ac:dyDescent="0.2">
      <c r="A440" s="90" t="s">
        <v>524</v>
      </c>
      <c r="B440" s="91">
        <v>15</v>
      </c>
      <c r="C440" s="92" t="s">
        <v>543</v>
      </c>
      <c r="D440" s="92" t="s">
        <v>546</v>
      </c>
      <c r="E440" s="93"/>
      <c r="F440" s="93">
        <f>49927238+83123639-8000000</f>
        <v>125050877</v>
      </c>
      <c r="G440" s="93"/>
      <c r="H440" s="94">
        <v>80111600</v>
      </c>
      <c r="I440" s="76" t="s">
        <v>527</v>
      </c>
      <c r="J440" s="124">
        <v>1</v>
      </c>
      <c r="K440" s="124">
        <v>1</v>
      </c>
      <c r="L440" s="124">
        <v>12</v>
      </c>
      <c r="M440" s="91">
        <v>1</v>
      </c>
      <c r="N440" s="98" t="s">
        <v>54</v>
      </c>
      <c r="O440" s="99" t="s">
        <v>55</v>
      </c>
      <c r="P440" s="100">
        <v>1</v>
      </c>
      <c r="Q440" s="101">
        <f t="shared" si="113"/>
        <v>125050877</v>
      </c>
      <c r="R440" s="101">
        <f t="shared" si="114"/>
        <v>125050877</v>
      </c>
      <c r="S440" s="169">
        <v>0</v>
      </c>
      <c r="T440" s="98">
        <v>0</v>
      </c>
      <c r="U440" s="27" t="str">
        <f t="shared" si="115"/>
        <v>SUBDIRECCION DE GESTION CONTRACTUAL</v>
      </c>
      <c r="V440" s="91" t="str">
        <f t="shared" si="116"/>
        <v>CO-DC</v>
      </c>
      <c r="W440" s="27" t="str">
        <f t="shared" si="117"/>
        <v>Distrito Capital de Bogotá</v>
      </c>
      <c r="X440" s="103" t="s">
        <v>528</v>
      </c>
      <c r="Y440" s="91">
        <v>2427400</v>
      </c>
      <c r="Z440" s="105" t="s">
        <v>529</v>
      </c>
    </row>
    <row r="441" spans="1:26" s="61" customFormat="1" ht="13.9" hidden="1" customHeight="1" x14ac:dyDescent="0.2">
      <c r="A441" s="90" t="s">
        <v>524</v>
      </c>
      <c r="B441" s="91">
        <v>16</v>
      </c>
      <c r="C441" s="92" t="s">
        <v>543</v>
      </c>
      <c r="D441" s="92" t="s">
        <v>547</v>
      </c>
      <c r="E441" s="93"/>
      <c r="F441" s="93">
        <v>8218102</v>
      </c>
      <c r="G441" s="93"/>
      <c r="H441" s="94">
        <v>80111600</v>
      </c>
      <c r="I441" s="76" t="s">
        <v>527</v>
      </c>
      <c r="J441" s="124">
        <v>1</v>
      </c>
      <c r="K441" s="124">
        <v>1</v>
      </c>
      <c r="L441" s="124">
        <v>12</v>
      </c>
      <c r="M441" s="91">
        <v>1</v>
      </c>
      <c r="N441" s="98" t="s">
        <v>54</v>
      </c>
      <c r="O441" s="99" t="s">
        <v>55</v>
      </c>
      <c r="P441" s="100">
        <v>1</v>
      </c>
      <c r="Q441" s="101">
        <f t="shared" si="113"/>
        <v>8218102</v>
      </c>
      <c r="R441" s="101">
        <f t="shared" si="114"/>
        <v>8218102</v>
      </c>
      <c r="S441" s="169">
        <v>0</v>
      </c>
      <c r="T441" s="98">
        <v>0</v>
      </c>
      <c r="U441" s="27" t="str">
        <f t="shared" si="115"/>
        <v>SUBDIRECCION DE GESTION CONTRACTUAL</v>
      </c>
      <c r="V441" s="91" t="str">
        <f t="shared" si="116"/>
        <v>CO-DC</v>
      </c>
      <c r="W441" s="27" t="str">
        <f t="shared" si="117"/>
        <v>Distrito Capital de Bogotá</v>
      </c>
      <c r="X441" s="103" t="s">
        <v>528</v>
      </c>
      <c r="Y441" s="91">
        <v>2427400</v>
      </c>
      <c r="Z441" s="105" t="s">
        <v>529</v>
      </c>
    </row>
    <row r="442" spans="1:26" s="61" customFormat="1" ht="13.9" hidden="1" customHeight="1" x14ac:dyDescent="0.2">
      <c r="A442" s="90" t="s">
        <v>524</v>
      </c>
      <c r="B442" s="91">
        <v>17</v>
      </c>
      <c r="C442" s="92" t="s">
        <v>543</v>
      </c>
      <c r="D442" s="92" t="s">
        <v>548</v>
      </c>
      <c r="E442" s="93"/>
      <c r="F442" s="93">
        <v>27296919</v>
      </c>
      <c r="G442" s="93"/>
      <c r="H442" s="94">
        <v>80111600</v>
      </c>
      <c r="I442" s="76" t="s">
        <v>527</v>
      </c>
      <c r="J442" s="124">
        <v>1</v>
      </c>
      <c r="K442" s="124">
        <v>1</v>
      </c>
      <c r="L442" s="124">
        <v>12</v>
      </c>
      <c r="M442" s="91">
        <v>1</v>
      </c>
      <c r="N442" s="98" t="s">
        <v>54</v>
      </c>
      <c r="O442" s="99" t="s">
        <v>55</v>
      </c>
      <c r="P442" s="100">
        <v>1</v>
      </c>
      <c r="Q442" s="101">
        <f t="shared" si="113"/>
        <v>27296919</v>
      </c>
      <c r="R442" s="101">
        <f t="shared" si="114"/>
        <v>27296919</v>
      </c>
      <c r="S442" s="169">
        <v>0</v>
      </c>
      <c r="T442" s="98">
        <v>0</v>
      </c>
      <c r="U442" s="27" t="str">
        <f t="shared" si="115"/>
        <v>SUBDIRECCION DE GESTION CONTRACTUAL</v>
      </c>
      <c r="V442" s="91" t="str">
        <f t="shared" si="116"/>
        <v>CO-DC</v>
      </c>
      <c r="W442" s="27" t="str">
        <f t="shared" si="117"/>
        <v>Distrito Capital de Bogotá</v>
      </c>
      <c r="X442" s="103" t="s">
        <v>528</v>
      </c>
      <c r="Y442" s="91">
        <v>2427400</v>
      </c>
      <c r="Z442" s="105" t="s">
        <v>529</v>
      </c>
    </row>
    <row r="443" spans="1:26" s="61" customFormat="1" ht="13.9" hidden="1" customHeight="1" x14ac:dyDescent="0.2">
      <c r="A443" s="90" t="s">
        <v>524</v>
      </c>
      <c r="B443" s="91">
        <v>18</v>
      </c>
      <c r="C443" s="92" t="s">
        <v>543</v>
      </c>
      <c r="D443" s="92" t="s">
        <v>549</v>
      </c>
      <c r="E443" s="93"/>
      <c r="F443" s="93">
        <v>33284820</v>
      </c>
      <c r="G443" s="93"/>
      <c r="H443" s="94">
        <v>80111600</v>
      </c>
      <c r="I443" s="76" t="s">
        <v>527</v>
      </c>
      <c r="J443" s="124">
        <v>1</v>
      </c>
      <c r="K443" s="124">
        <v>1</v>
      </c>
      <c r="L443" s="124">
        <v>12</v>
      </c>
      <c r="M443" s="91">
        <v>1</v>
      </c>
      <c r="N443" s="98" t="s">
        <v>54</v>
      </c>
      <c r="O443" s="99" t="s">
        <v>55</v>
      </c>
      <c r="P443" s="100">
        <v>1</v>
      </c>
      <c r="Q443" s="101">
        <f t="shared" ref="Q443:Q474" si="118">+E443+F443+G443</f>
        <v>33284820</v>
      </c>
      <c r="R443" s="101">
        <f t="shared" ref="R443:R474" si="119">+F443</f>
        <v>33284820</v>
      </c>
      <c r="S443" s="169">
        <v>0</v>
      </c>
      <c r="T443" s="98">
        <v>0</v>
      </c>
      <c r="U443" s="27" t="str">
        <f t="shared" si="115"/>
        <v>SUBDIRECCION DE GESTION CONTRACTUAL</v>
      </c>
      <c r="V443" s="91" t="str">
        <f t="shared" si="116"/>
        <v>CO-DC</v>
      </c>
      <c r="W443" s="27" t="str">
        <f t="shared" si="117"/>
        <v>Distrito Capital de Bogotá</v>
      </c>
      <c r="X443" s="103" t="s">
        <v>528</v>
      </c>
      <c r="Y443" s="91">
        <v>2427400</v>
      </c>
      <c r="Z443" s="105" t="s">
        <v>529</v>
      </c>
    </row>
    <row r="444" spans="1:26" s="61" customFormat="1" ht="13.9" hidden="1" customHeight="1" x14ac:dyDescent="0.2">
      <c r="A444" s="90" t="s">
        <v>524</v>
      </c>
      <c r="B444" s="91">
        <v>19</v>
      </c>
      <c r="C444" s="92" t="s">
        <v>543</v>
      </c>
      <c r="D444" s="92" t="s">
        <v>550</v>
      </c>
      <c r="E444" s="93"/>
      <c r="F444" s="93">
        <v>12327150</v>
      </c>
      <c r="G444" s="93"/>
      <c r="H444" s="94">
        <v>80111600</v>
      </c>
      <c r="I444" s="76" t="s">
        <v>527</v>
      </c>
      <c r="J444" s="124">
        <v>1</v>
      </c>
      <c r="K444" s="124">
        <v>1</v>
      </c>
      <c r="L444" s="124">
        <v>12</v>
      </c>
      <c r="M444" s="91">
        <v>1</v>
      </c>
      <c r="N444" s="98" t="s">
        <v>54</v>
      </c>
      <c r="O444" s="99" t="s">
        <v>55</v>
      </c>
      <c r="P444" s="100">
        <v>1</v>
      </c>
      <c r="Q444" s="101">
        <f t="shared" si="118"/>
        <v>12327150</v>
      </c>
      <c r="R444" s="101">
        <f t="shared" si="119"/>
        <v>12327150</v>
      </c>
      <c r="S444" s="169">
        <v>0</v>
      </c>
      <c r="T444" s="98">
        <v>0</v>
      </c>
      <c r="U444" s="27" t="str">
        <f t="shared" si="115"/>
        <v>SUBDIRECCION DE GESTION CONTRACTUAL</v>
      </c>
      <c r="V444" s="91" t="str">
        <f t="shared" si="116"/>
        <v>CO-DC</v>
      </c>
      <c r="W444" s="27" t="str">
        <f t="shared" si="117"/>
        <v>Distrito Capital de Bogotá</v>
      </c>
      <c r="X444" s="103" t="s">
        <v>528</v>
      </c>
      <c r="Y444" s="91">
        <v>2427400</v>
      </c>
      <c r="Z444" s="105" t="s">
        <v>529</v>
      </c>
    </row>
    <row r="445" spans="1:26" s="61" customFormat="1" ht="13.9" hidden="1" customHeight="1" x14ac:dyDescent="0.2">
      <c r="A445" s="90" t="s">
        <v>524</v>
      </c>
      <c r="B445" s="91">
        <v>20</v>
      </c>
      <c r="C445" s="92" t="s">
        <v>543</v>
      </c>
      <c r="D445" s="92" t="s">
        <v>551</v>
      </c>
      <c r="E445" s="93"/>
      <c r="F445" s="93">
        <v>40945375</v>
      </c>
      <c r="G445" s="93"/>
      <c r="H445" s="94">
        <v>80111600</v>
      </c>
      <c r="I445" s="76" t="s">
        <v>527</v>
      </c>
      <c r="J445" s="124">
        <v>1</v>
      </c>
      <c r="K445" s="124">
        <v>1</v>
      </c>
      <c r="L445" s="124">
        <v>12</v>
      </c>
      <c r="M445" s="91">
        <v>1</v>
      </c>
      <c r="N445" s="98" t="s">
        <v>54</v>
      </c>
      <c r="O445" s="99" t="s">
        <v>55</v>
      </c>
      <c r="P445" s="100">
        <v>1</v>
      </c>
      <c r="Q445" s="101">
        <f t="shared" si="118"/>
        <v>40945375</v>
      </c>
      <c r="R445" s="101">
        <f t="shared" si="119"/>
        <v>40945375</v>
      </c>
      <c r="S445" s="169">
        <v>0</v>
      </c>
      <c r="T445" s="98">
        <v>0</v>
      </c>
      <c r="U445" s="27" t="str">
        <f t="shared" si="115"/>
        <v>SUBDIRECCION DE GESTION CONTRACTUAL</v>
      </c>
      <c r="V445" s="91" t="str">
        <f t="shared" si="116"/>
        <v>CO-DC</v>
      </c>
      <c r="W445" s="27" t="str">
        <f t="shared" si="117"/>
        <v>Distrito Capital de Bogotá</v>
      </c>
      <c r="X445" s="103" t="s">
        <v>528</v>
      </c>
      <c r="Y445" s="91">
        <v>2427400</v>
      </c>
      <c r="Z445" s="105" t="s">
        <v>529</v>
      </c>
    </row>
    <row r="446" spans="1:26" s="61" customFormat="1" ht="13.9" hidden="1" customHeight="1" x14ac:dyDescent="0.2">
      <c r="A446" s="90" t="s">
        <v>524</v>
      </c>
      <c r="B446" s="91">
        <v>21</v>
      </c>
      <c r="C446" s="92" t="s">
        <v>543</v>
      </c>
      <c r="D446" s="92" t="s">
        <v>552</v>
      </c>
      <c r="E446" s="93"/>
      <c r="F446" s="93">
        <v>49927238</v>
      </c>
      <c r="G446" s="93"/>
      <c r="H446" s="94">
        <v>80111600</v>
      </c>
      <c r="I446" s="76" t="s">
        <v>527</v>
      </c>
      <c r="J446" s="124">
        <v>1</v>
      </c>
      <c r="K446" s="124">
        <v>1</v>
      </c>
      <c r="L446" s="124">
        <v>12</v>
      </c>
      <c r="M446" s="91">
        <v>1</v>
      </c>
      <c r="N446" s="98" t="s">
        <v>54</v>
      </c>
      <c r="O446" s="99" t="s">
        <v>55</v>
      </c>
      <c r="P446" s="100">
        <v>1</v>
      </c>
      <c r="Q446" s="101">
        <f t="shared" si="118"/>
        <v>49927238</v>
      </c>
      <c r="R446" s="101">
        <f t="shared" si="119"/>
        <v>49927238</v>
      </c>
      <c r="S446" s="169">
        <v>0</v>
      </c>
      <c r="T446" s="98">
        <v>0</v>
      </c>
      <c r="U446" s="27" t="str">
        <f t="shared" si="115"/>
        <v>SUBDIRECCION DE GESTION CONTRACTUAL</v>
      </c>
      <c r="V446" s="91" t="str">
        <f t="shared" si="116"/>
        <v>CO-DC</v>
      </c>
      <c r="W446" s="27" t="str">
        <f t="shared" si="117"/>
        <v>Distrito Capital de Bogotá</v>
      </c>
      <c r="X446" s="103" t="s">
        <v>528</v>
      </c>
      <c r="Y446" s="91">
        <v>2427400</v>
      </c>
      <c r="Z446" s="105" t="s">
        <v>529</v>
      </c>
    </row>
    <row r="447" spans="1:26" s="61" customFormat="1" ht="13.9" hidden="1" customHeight="1" x14ac:dyDescent="0.2">
      <c r="A447" s="90" t="s">
        <v>524</v>
      </c>
      <c r="B447" s="91">
        <v>22</v>
      </c>
      <c r="C447" s="92" t="s">
        <v>543</v>
      </c>
      <c r="D447" s="92" t="s">
        <v>553</v>
      </c>
      <c r="E447" s="93"/>
      <c r="F447" s="93">
        <f>8218102-6841898</f>
        <v>1376204</v>
      </c>
      <c r="G447" s="93"/>
      <c r="H447" s="94">
        <v>80111600</v>
      </c>
      <c r="I447" s="76" t="s">
        <v>527</v>
      </c>
      <c r="J447" s="124">
        <v>1</v>
      </c>
      <c r="K447" s="124">
        <v>1</v>
      </c>
      <c r="L447" s="124">
        <v>12</v>
      </c>
      <c r="M447" s="91">
        <v>1</v>
      </c>
      <c r="N447" s="98" t="s">
        <v>54</v>
      </c>
      <c r="O447" s="99" t="s">
        <v>55</v>
      </c>
      <c r="P447" s="100">
        <v>1</v>
      </c>
      <c r="Q447" s="101">
        <f t="shared" si="118"/>
        <v>1376204</v>
      </c>
      <c r="R447" s="101">
        <f t="shared" si="119"/>
        <v>1376204</v>
      </c>
      <c r="S447" s="169">
        <v>0</v>
      </c>
      <c r="T447" s="98">
        <v>0</v>
      </c>
      <c r="U447" s="27" t="str">
        <f t="shared" si="115"/>
        <v>SUBDIRECCION DE GESTION CONTRACTUAL</v>
      </c>
      <c r="V447" s="91" t="str">
        <f t="shared" si="116"/>
        <v>CO-DC</v>
      </c>
      <c r="W447" s="27" t="str">
        <f t="shared" si="117"/>
        <v>Distrito Capital de Bogotá</v>
      </c>
      <c r="X447" s="103" t="s">
        <v>528</v>
      </c>
      <c r="Y447" s="91">
        <v>2427400</v>
      </c>
      <c r="Z447" s="105" t="s">
        <v>529</v>
      </c>
    </row>
    <row r="448" spans="1:26" s="61" customFormat="1" ht="13.9" hidden="1" customHeight="1" x14ac:dyDescent="0.2">
      <c r="A448" s="90" t="s">
        <v>524</v>
      </c>
      <c r="B448" s="91">
        <v>23</v>
      </c>
      <c r="C448" s="92" t="s">
        <v>543</v>
      </c>
      <c r="D448" s="92" t="s">
        <v>554</v>
      </c>
      <c r="E448" s="93"/>
      <c r="F448" s="93">
        <f>27296919-4109051</f>
        <v>23187868</v>
      </c>
      <c r="G448" s="93"/>
      <c r="H448" s="94">
        <v>80111600</v>
      </c>
      <c r="I448" s="76" t="s">
        <v>527</v>
      </c>
      <c r="J448" s="124">
        <v>1</v>
      </c>
      <c r="K448" s="124">
        <v>1</v>
      </c>
      <c r="L448" s="124">
        <v>12</v>
      </c>
      <c r="M448" s="91">
        <v>1</v>
      </c>
      <c r="N448" s="98" t="s">
        <v>54</v>
      </c>
      <c r="O448" s="99" t="s">
        <v>55</v>
      </c>
      <c r="P448" s="100">
        <v>1</v>
      </c>
      <c r="Q448" s="101">
        <f t="shared" si="118"/>
        <v>23187868</v>
      </c>
      <c r="R448" s="101">
        <f t="shared" si="119"/>
        <v>23187868</v>
      </c>
      <c r="S448" s="169">
        <v>0</v>
      </c>
      <c r="T448" s="98">
        <v>0</v>
      </c>
      <c r="U448" s="27" t="str">
        <f t="shared" si="115"/>
        <v>SUBDIRECCION DE GESTION CONTRACTUAL</v>
      </c>
      <c r="V448" s="91" t="str">
        <f t="shared" si="116"/>
        <v>CO-DC</v>
      </c>
      <c r="W448" s="27" t="str">
        <f t="shared" si="117"/>
        <v>Distrito Capital de Bogotá</v>
      </c>
      <c r="X448" s="103" t="s">
        <v>528</v>
      </c>
      <c r="Y448" s="91">
        <v>2427400</v>
      </c>
      <c r="Z448" s="105" t="s">
        <v>529</v>
      </c>
    </row>
    <row r="449" spans="1:26" s="61" customFormat="1" ht="13.9" hidden="1" customHeight="1" x14ac:dyDescent="0.2">
      <c r="A449" s="90" t="s">
        <v>524</v>
      </c>
      <c r="B449" s="91">
        <v>24</v>
      </c>
      <c r="C449" s="92" t="s">
        <v>543</v>
      </c>
      <c r="D449" s="92" t="s">
        <v>555</v>
      </c>
      <c r="E449" s="93"/>
      <c r="F449" s="93">
        <f>33284820-4023333</f>
        <v>29261487</v>
      </c>
      <c r="G449" s="93"/>
      <c r="H449" s="94">
        <v>80111600</v>
      </c>
      <c r="I449" s="76" t="s">
        <v>527</v>
      </c>
      <c r="J449" s="124">
        <v>1</v>
      </c>
      <c r="K449" s="124">
        <v>1</v>
      </c>
      <c r="L449" s="124">
        <v>12</v>
      </c>
      <c r="M449" s="91">
        <v>1</v>
      </c>
      <c r="N449" s="98" t="s">
        <v>54</v>
      </c>
      <c r="O449" s="99" t="s">
        <v>55</v>
      </c>
      <c r="P449" s="100">
        <v>1</v>
      </c>
      <c r="Q449" s="101">
        <f t="shared" si="118"/>
        <v>29261487</v>
      </c>
      <c r="R449" s="101">
        <f t="shared" si="119"/>
        <v>29261487</v>
      </c>
      <c r="S449" s="169">
        <v>0</v>
      </c>
      <c r="T449" s="98">
        <v>0</v>
      </c>
      <c r="U449" s="27" t="str">
        <f t="shared" si="115"/>
        <v>SUBDIRECCION DE GESTION CONTRACTUAL</v>
      </c>
      <c r="V449" s="91" t="str">
        <f t="shared" si="116"/>
        <v>CO-DC</v>
      </c>
      <c r="W449" s="27" t="str">
        <f t="shared" si="117"/>
        <v>Distrito Capital de Bogotá</v>
      </c>
      <c r="X449" s="103" t="s">
        <v>528</v>
      </c>
      <c r="Y449" s="91">
        <v>2427400</v>
      </c>
      <c r="Z449" s="105" t="s">
        <v>529</v>
      </c>
    </row>
    <row r="450" spans="1:26" s="61" customFormat="1" ht="13.9" hidden="1" customHeight="1" x14ac:dyDescent="0.2">
      <c r="A450" s="90" t="s">
        <v>524</v>
      </c>
      <c r="B450" s="91">
        <v>25</v>
      </c>
      <c r="C450" s="92" t="s">
        <v>556</v>
      </c>
      <c r="D450" s="92" t="s">
        <v>545</v>
      </c>
      <c r="E450" s="93"/>
      <c r="F450" s="93">
        <f>57236447+16043580-16043580</f>
        <v>57236447</v>
      </c>
      <c r="G450" s="93"/>
      <c r="H450" s="94">
        <v>80111600</v>
      </c>
      <c r="I450" s="76" t="s">
        <v>527</v>
      </c>
      <c r="J450" s="124">
        <v>1</v>
      </c>
      <c r="K450" s="124">
        <v>1</v>
      </c>
      <c r="L450" s="124">
        <v>12</v>
      </c>
      <c r="M450" s="91">
        <v>1</v>
      </c>
      <c r="N450" s="98" t="s">
        <v>54</v>
      </c>
      <c r="O450" s="99" t="s">
        <v>55</v>
      </c>
      <c r="P450" s="100">
        <v>1</v>
      </c>
      <c r="Q450" s="101">
        <f t="shared" si="118"/>
        <v>57236447</v>
      </c>
      <c r="R450" s="101">
        <f t="shared" si="119"/>
        <v>57236447</v>
      </c>
      <c r="S450" s="169">
        <v>0</v>
      </c>
      <c r="T450" s="98">
        <v>0</v>
      </c>
      <c r="U450" s="27" t="str">
        <f t="shared" si="115"/>
        <v>SUBDIRECCION DE GESTION CONTRACTUAL</v>
      </c>
      <c r="V450" s="91" t="str">
        <f t="shared" si="116"/>
        <v>CO-DC</v>
      </c>
      <c r="W450" s="27" t="str">
        <f t="shared" si="117"/>
        <v>Distrito Capital de Bogotá</v>
      </c>
      <c r="X450" s="103" t="s">
        <v>528</v>
      </c>
      <c r="Y450" s="91">
        <v>2427400</v>
      </c>
      <c r="Z450" s="105" t="s">
        <v>529</v>
      </c>
    </row>
    <row r="451" spans="1:26" s="61" customFormat="1" ht="13.9" hidden="1" customHeight="1" x14ac:dyDescent="0.2">
      <c r="A451" s="90" t="s">
        <v>524</v>
      </c>
      <c r="B451" s="91">
        <v>26</v>
      </c>
      <c r="C451" s="92" t="s">
        <v>556</v>
      </c>
      <c r="D451" s="92" t="s">
        <v>548</v>
      </c>
      <c r="E451" s="93"/>
      <c r="F451" s="93">
        <v>38157629</v>
      </c>
      <c r="G451" s="93"/>
      <c r="H451" s="94">
        <v>80111600</v>
      </c>
      <c r="I451" s="76" t="s">
        <v>527</v>
      </c>
      <c r="J451" s="124">
        <v>1</v>
      </c>
      <c r="K451" s="124">
        <v>1</v>
      </c>
      <c r="L451" s="124">
        <v>12</v>
      </c>
      <c r="M451" s="91">
        <v>1</v>
      </c>
      <c r="N451" s="98" t="s">
        <v>54</v>
      </c>
      <c r="O451" s="99" t="s">
        <v>55</v>
      </c>
      <c r="P451" s="100">
        <v>1</v>
      </c>
      <c r="Q451" s="101">
        <f t="shared" si="118"/>
        <v>38157629</v>
      </c>
      <c r="R451" s="101">
        <f t="shared" si="119"/>
        <v>38157629</v>
      </c>
      <c r="S451" s="169">
        <v>0</v>
      </c>
      <c r="T451" s="98">
        <v>0</v>
      </c>
      <c r="U451" s="27" t="str">
        <f t="shared" si="115"/>
        <v>SUBDIRECCION DE GESTION CONTRACTUAL</v>
      </c>
      <c r="V451" s="91" t="str">
        <f t="shared" si="116"/>
        <v>CO-DC</v>
      </c>
      <c r="W451" s="27" t="str">
        <f t="shared" si="117"/>
        <v>Distrito Capital de Bogotá</v>
      </c>
      <c r="X451" s="103" t="s">
        <v>528</v>
      </c>
      <c r="Y451" s="91">
        <v>2427400</v>
      </c>
      <c r="Z451" s="105" t="s">
        <v>529</v>
      </c>
    </row>
    <row r="452" spans="1:26" s="5" customFormat="1" ht="12.75" hidden="1" customHeight="1" x14ac:dyDescent="0.2">
      <c r="A452" s="90" t="s">
        <v>524</v>
      </c>
      <c r="B452" s="91">
        <v>27</v>
      </c>
      <c r="C452" s="92" t="s">
        <v>556</v>
      </c>
      <c r="D452" s="92" t="s">
        <v>551</v>
      </c>
      <c r="E452" s="93"/>
      <c r="F452" s="93">
        <v>57236447</v>
      </c>
      <c r="G452" s="93"/>
      <c r="H452" s="94">
        <v>80111600</v>
      </c>
      <c r="I452" s="76" t="s">
        <v>527</v>
      </c>
      <c r="J452" s="124">
        <v>1</v>
      </c>
      <c r="K452" s="124">
        <v>1</v>
      </c>
      <c r="L452" s="124">
        <v>12</v>
      </c>
      <c r="M452" s="91">
        <v>1</v>
      </c>
      <c r="N452" s="98" t="s">
        <v>54</v>
      </c>
      <c r="O452" s="99" t="s">
        <v>55</v>
      </c>
      <c r="P452" s="100">
        <v>1</v>
      </c>
      <c r="Q452" s="101">
        <f t="shared" si="118"/>
        <v>57236447</v>
      </c>
      <c r="R452" s="101">
        <f t="shared" si="119"/>
        <v>57236447</v>
      </c>
      <c r="S452" s="169">
        <v>0</v>
      </c>
      <c r="T452" s="98">
        <v>0</v>
      </c>
      <c r="U452" s="27" t="str">
        <f t="shared" si="115"/>
        <v>SUBDIRECCION DE GESTION CONTRACTUAL</v>
      </c>
      <c r="V452" s="91" t="str">
        <f t="shared" si="116"/>
        <v>CO-DC</v>
      </c>
      <c r="W452" s="27" t="str">
        <f t="shared" si="117"/>
        <v>Distrito Capital de Bogotá</v>
      </c>
      <c r="X452" s="103" t="s">
        <v>528</v>
      </c>
      <c r="Y452" s="91">
        <v>2427400</v>
      </c>
      <c r="Z452" s="105" t="s">
        <v>529</v>
      </c>
    </row>
    <row r="453" spans="1:26" s="61" customFormat="1" ht="13.9" hidden="1" customHeight="1" x14ac:dyDescent="0.2">
      <c r="A453" s="90" t="s">
        <v>524</v>
      </c>
      <c r="B453" s="91">
        <v>28</v>
      </c>
      <c r="C453" s="92" t="s">
        <v>556</v>
      </c>
      <c r="D453" s="92" t="s">
        <v>554</v>
      </c>
      <c r="E453" s="93"/>
      <c r="F453" s="93">
        <v>38157629</v>
      </c>
      <c r="G453" s="93"/>
      <c r="H453" s="94">
        <v>80111600</v>
      </c>
      <c r="I453" s="76" t="s">
        <v>527</v>
      </c>
      <c r="J453" s="124">
        <v>1</v>
      </c>
      <c r="K453" s="124">
        <v>1</v>
      </c>
      <c r="L453" s="124">
        <v>12</v>
      </c>
      <c r="M453" s="91">
        <v>1</v>
      </c>
      <c r="N453" s="98" t="s">
        <v>54</v>
      </c>
      <c r="O453" s="99" t="s">
        <v>55</v>
      </c>
      <c r="P453" s="100">
        <v>1</v>
      </c>
      <c r="Q453" s="101">
        <f t="shared" si="118"/>
        <v>38157629</v>
      </c>
      <c r="R453" s="101">
        <f t="shared" si="119"/>
        <v>38157629</v>
      </c>
      <c r="S453" s="169">
        <v>0</v>
      </c>
      <c r="T453" s="98">
        <v>0</v>
      </c>
      <c r="U453" s="27" t="str">
        <f t="shared" si="115"/>
        <v>SUBDIRECCION DE GESTION CONTRACTUAL</v>
      </c>
      <c r="V453" s="91" t="str">
        <f t="shared" si="116"/>
        <v>CO-DC</v>
      </c>
      <c r="W453" s="27" t="str">
        <f t="shared" si="117"/>
        <v>Distrito Capital de Bogotá</v>
      </c>
      <c r="X453" s="103" t="s">
        <v>528</v>
      </c>
      <c r="Y453" s="91">
        <v>2427400</v>
      </c>
      <c r="Z453" s="105" t="s">
        <v>529</v>
      </c>
    </row>
    <row r="454" spans="1:26" s="61" customFormat="1" ht="13.9" hidden="1" customHeight="1" x14ac:dyDescent="0.2">
      <c r="A454" s="90" t="s">
        <v>524</v>
      </c>
      <c r="B454" s="91">
        <v>29</v>
      </c>
      <c r="C454" s="92" t="s">
        <v>525</v>
      </c>
      <c r="D454" s="92" t="s">
        <v>526</v>
      </c>
      <c r="E454" s="93"/>
      <c r="F454" s="93">
        <f>468091631-292593594+62553321</f>
        <v>238051358</v>
      </c>
      <c r="G454" s="93"/>
      <c r="H454" s="94" t="s">
        <v>557</v>
      </c>
      <c r="I454" s="76" t="s">
        <v>558</v>
      </c>
      <c r="J454" s="124">
        <v>1</v>
      </c>
      <c r="K454" s="124">
        <v>2</v>
      </c>
      <c r="L454" s="124">
        <v>10</v>
      </c>
      <c r="M454" s="91">
        <v>1</v>
      </c>
      <c r="N454" s="98" t="s">
        <v>64</v>
      </c>
      <c r="O454" s="99" t="s">
        <v>65</v>
      </c>
      <c r="P454" s="100">
        <v>1</v>
      </c>
      <c r="Q454" s="101">
        <f t="shared" si="118"/>
        <v>238051358</v>
      </c>
      <c r="R454" s="101">
        <f t="shared" si="119"/>
        <v>238051358</v>
      </c>
      <c r="S454" s="169">
        <v>0</v>
      </c>
      <c r="T454" s="98">
        <v>0</v>
      </c>
      <c r="U454" s="27" t="str">
        <f t="shared" si="115"/>
        <v>SUBDIRECCION DE GESTION CONTRACTUAL</v>
      </c>
      <c r="V454" s="91" t="str">
        <f t="shared" si="116"/>
        <v>CO-DC</v>
      </c>
      <c r="W454" s="27" t="str">
        <f t="shared" si="117"/>
        <v>Distrito Capital de Bogotá</v>
      </c>
      <c r="X454" s="103" t="s">
        <v>528</v>
      </c>
      <c r="Y454" s="91">
        <v>2427400</v>
      </c>
      <c r="Z454" s="105" t="s">
        <v>529</v>
      </c>
    </row>
    <row r="455" spans="1:26" s="61" customFormat="1" ht="13.9" hidden="1" customHeight="1" x14ac:dyDescent="0.2">
      <c r="A455" s="90" t="s">
        <v>524</v>
      </c>
      <c r="B455" s="91">
        <v>30</v>
      </c>
      <c r="C455" s="92" t="s">
        <v>525</v>
      </c>
      <c r="D455" s="92" t="s">
        <v>530</v>
      </c>
      <c r="E455" s="93"/>
      <c r="F455" s="93">
        <f>312061078-282530593+130170769</f>
        <v>159701254</v>
      </c>
      <c r="G455" s="93"/>
      <c r="H455" s="94" t="s">
        <v>557</v>
      </c>
      <c r="I455" s="76" t="s">
        <v>558</v>
      </c>
      <c r="J455" s="124">
        <v>1</v>
      </c>
      <c r="K455" s="124">
        <v>2</v>
      </c>
      <c r="L455" s="124">
        <v>10</v>
      </c>
      <c r="M455" s="91">
        <v>1</v>
      </c>
      <c r="N455" s="98" t="s">
        <v>64</v>
      </c>
      <c r="O455" s="99" t="s">
        <v>65</v>
      </c>
      <c r="P455" s="100">
        <v>1</v>
      </c>
      <c r="Q455" s="101">
        <f t="shared" si="118"/>
        <v>159701254</v>
      </c>
      <c r="R455" s="101">
        <f t="shared" si="119"/>
        <v>159701254</v>
      </c>
      <c r="S455" s="169">
        <v>0</v>
      </c>
      <c r="T455" s="98">
        <v>0</v>
      </c>
      <c r="U455" s="27" t="str">
        <f t="shared" si="115"/>
        <v>SUBDIRECCION DE GESTION CONTRACTUAL</v>
      </c>
      <c r="V455" s="91" t="str">
        <f t="shared" si="116"/>
        <v>CO-DC</v>
      </c>
      <c r="W455" s="27" t="str">
        <f t="shared" si="117"/>
        <v>Distrito Capital de Bogotá</v>
      </c>
      <c r="X455" s="103" t="s">
        <v>528</v>
      </c>
      <c r="Y455" s="91">
        <v>2427400</v>
      </c>
      <c r="Z455" s="105" t="s">
        <v>529</v>
      </c>
    </row>
    <row r="456" spans="1:26" s="61" customFormat="1" ht="13.9" hidden="1" customHeight="1" x14ac:dyDescent="0.2">
      <c r="A456" s="90" t="s">
        <v>524</v>
      </c>
      <c r="B456" s="91">
        <v>31</v>
      </c>
      <c r="C456" s="92" t="s">
        <v>525</v>
      </c>
      <c r="D456" s="92" t="s">
        <v>531</v>
      </c>
      <c r="E456" s="93"/>
      <c r="F456" s="93">
        <f>468091618-234045809</f>
        <v>234045809</v>
      </c>
      <c r="G456" s="93"/>
      <c r="H456" s="94" t="s">
        <v>557</v>
      </c>
      <c r="I456" s="76" t="s">
        <v>558</v>
      </c>
      <c r="J456" s="124">
        <v>1</v>
      </c>
      <c r="K456" s="124">
        <v>2</v>
      </c>
      <c r="L456" s="124">
        <v>10</v>
      </c>
      <c r="M456" s="91">
        <v>1</v>
      </c>
      <c r="N456" s="98" t="s">
        <v>64</v>
      </c>
      <c r="O456" s="99" t="s">
        <v>65</v>
      </c>
      <c r="P456" s="100">
        <v>1</v>
      </c>
      <c r="Q456" s="101">
        <f t="shared" si="118"/>
        <v>234045809</v>
      </c>
      <c r="R456" s="101">
        <f t="shared" si="119"/>
        <v>234045809</v>
      </c>
      <c r="S456" s="169">
        <v>0</v>
      </c>
      <c r="T456" s="98">
        <v>0</v>
      </c>
      <c r="U456" s="27" t="str">
        <f t="shared" si="115"/>
        <v>SUBDIRECCION DE GESTION CONTRACTUAL</v>
      </c>
      <c r="V456" s="91" t="str">
        <f t="shared" si="116"/>
        <v>CO-DC</v>
      </c>
      <c r="W456" s="27" t="str">
        <f t="shared" si="117"/>
        <v>Distrito Capital de Bogotá</v>
      </c>
      <c r="X456" s="103" t="s">
        <v>528</v>
      </c>
      <c r="Y456" s="91">
        <v>2427400</v>
      </c>
      <c r="Z456" s="105" t="s">
        <v>529</v>
      </c>
    </row>
    <row r="457" spans="1:26" s="61" customFormat="1" ht="13.9" hidden="1" customHeight="1" x14ac:dyDescent="0.2">
      <c r="A457" s="90" t="s">
        <v>524</v>
      </c>
      <c r="B457" s="91">
        <v>32</v>
      </c>
      <c r="C457" s="92" t="s">
        <v>525</v>
      </c>
      <c r="D457" s="92" t="s">
        <v>532</v>
      </c>
      <c r="E457" s="93"/>
      <c r="F457" s="93">
        <f>312061078-156030540+5340000</f>
        <v>161370538</v>
      </c>
      <c r="G457" s="93"/>
      <c r="H457" s="94" t="s">
        <v>557</v>
      </c>
      <c r="I457" s="76" t="s">
        <v>558</v>
      </c>
      <c r="J457" s="124">
        <v>1</v>
      </c>
      <c r="K457" s="124">
        <v>2</v>
      </c>
      <c r="L457" s="124">
        <v>10</v>
      </c>
      <c r="M457" s="91">
        <v>1</v>
      </c>
      <c r="N457" s="98" t="s">
        <v>64</v>
      </c>
      <c r="O457" s="99" t="s">
        <v>65</v>
      </c>
      <c r="P457" s="100">
        <v>1</v>
      </c>
      <c r="Q457" s="101">
        <f t="shared" si="118"/>
        <v>161370538</v>
      </c>
      <c r="R457" s="101">
        <f t="shared" si="119"/>
        <v>161370538</v>
      </c>
      <c r="S457" s="169">
        <v>0</v>
      </c>
      <c r="T457" s="98">
        <v>0</v>
      </c>
      <c r="U457" s="27" t="str">
        <f t="shared" si="115"/>
        <v>SUBDIRECCION DE GESTION CONTRACTUAL</v>
      </c>
      <c r="V457" s="91" t="str">
        <f t="shared" si="116"/>
        <v>CO-DC</v>
      </c>
      <c r="W457" s="27" t="str">
        <f t="shared" si="117"/>
        <v>Distrito Capital de Bogotá</v>
      </c>
      <c r="X457" s="103" t="s">
        <v>528</v>
      </c>
      <c r="Y457" s="91">
        <v>2427400</v>
      </c>
      <c r="Z457" s="105" t="s">
        <v>529</v>
      </c>
    </row>
    <row r="458" spans="1:26" s="61" customFormat="1" ht="13.9" hidden="1" customHeight="1" x14ac:dyDescent="0.2">
      <c r="A458" s="90" t="s">
        <v>524</v>
      </c>
      <c r="B458" s="91">
        <v>33</v>
      </c>
      <c r="C458" s="92" t="s">
        <v>533</v>
      </c>
      <c r="D458" s="92" t="s">
        <v>534</v>
      </c>
      <c r="E458" s="93"/>
      <c r="F458" s="93">
        <f>743594206-490781977+88819358</f>
        <v>341631587</v>
      </c>
      <c r="G458" s="93"/>
      <c r="H458" s="94" t="s">
        <v>557</v>
      </c>
      <c r="I458" s="76" t="s">
        <v>558</v>
      </c>
      <c r="J458" s="124">
        <v>1</v>
      </c>
      <c r="K458" s="124">
        <v>2</v>
      </c>
      <c r="L458" s="124">
        <v>10</v>
      </c>
      <c r="M458" s="91">
        <v>1</v>
      </c>
      <c r="N458" s="98" t="s">
        <v>64</v>
      </c>
      <c r="O458" s="99" t="s">
        <v>65</v>
      </c>
      <c r="P458" s="100">
        <v>1</v>
      </c>
      <c r="Q458" s="101">
        <f t="shared" si="118"/>
        <v>341631587</v>
      </c>
      <c r="R458" s="101">
        <f t="shared" si="119"/>
        <v>341631587</v>
      </c>
      <c r="S458" s="102" t="s">
        <v>56</v>
      </c>
      <c r="T458" s="98">
        <v>0</v>
      </c>
      <c r="U458" s="27" t="str">
        <f t="shared" si="115"/>
        <v>SUBDIRECCION DE GESTION CONTRACTUAL</v>
      </c>
      <c r="V458" s="91" t="str">
        <f t="shared" si="116"/>
        <v>CO-DC</v>
      </c>
      <c r="W458" s="27" t="str">
        <f t="shared" si="117"/>
        <v>Distrito Capital de Bogotá</v>
      </c>
      <c r="X458" s="103" t="s">
        <v>528</v>
      </c>
      <c r="Y458" s="91">
        <v>2427400</v>
      </c>
      <c r="Z458" s="105" t="s">
        <v>529</v>
      </c>
    </row>
    <row r="459" spans="1:26" s="61" customFormat="1" ht="13.9" hidden="1" customHeight="1" x14ac:dyDescent="0.2">
      <c r="A459" s="90" t="s">
        <v>524</v>
      </c>
      <c r="B459" s="91">
        <v>34</v>
      </c>
      <c r="C459" s="92" t="s">
        <v>533</v>
      </c>
      <c r="D459" s="92" t="s">
        <v>535</v>
      </c>
      <c r="E459" s="93"/>
      <c r="F459" s="93">
        <f>495729478-247864739</f>
        <v>247864739</v>
      </c>
      <c r="G459" s="93"/>
      <c r="H459" s="94" t="s">
        <v>557</v>
      </c>
      <c r="I459" s="76" t="s">
        <v>558</v>
      </c>
      <c r="J459" s="124">
        <v>1</v>
      </c>
      <c r="K459" s="124">
        <v>2</v>
      </c>
      <c r="L459" s="124">
        <v>10</v>
      </c>
      <c r="M459" s="91">
        <v>1</v>
      </c>
      <c r="N459" s="98" t="s">
        <v>64</v>
      </c>
      <c r="O459" s="99" t="s">
        <v>65</v>
      </c>
      <c r="P459" s="100">
        <v>1</v>
      </c>
      <c r="Q459" s="101">
        <f t="shared" si="118"/>
        <v>247864739</v>
      </c>
      <c r="R459" s="101">
        <f t="shared" si="119"/>
        <v>247864739</v>
      </c>
      <c r="S459" s="102" t="s">
        <v>56</v>
      </c>
      <c r="T459" s="98">
        <v>0</v>
      </c>
      <c r="U459" s="27" t="str">
        <f t="shared" si="115"/>
        <v>SUBDIRECCION DE GESTION CONTRACTUAL</v>
      </c>
      <c r="V459" s="91" t="str">
        <f t="shared" si="116"/>
        <v>CO-DC</v>
      </c>
      <c r="W459" s="27" t="str">
        <f t="shared" si="117"/>
        <v>Distrito Capital de Bogotá</v>
      </c>
      <c r="X459" s="103" t="s">
        <v>528</v>
      </c>
      <c r="Y459" s="91">
        <v>2427400</v>
      </c>
      <c r="Z459" s="105" t="s">
        <v>529</v>
      </c>
    </row>
    <row r="460" spans="1:26" s="61" customFormat="1" ht="13.9" hidden="1" customHeight="1" x14ac:dyDescent="0.2">
      <c r="A460" s="90" t="s">
        <v>524</v>
      </c>
      <c r="B460" s="91">
        <v>35</v>
      </c>
      <c r="C460" s="92" t="s">
        <v>533</v>
      </c>
      <c r="D460" s="92" t="s">
        <v>536</v>
      </c>
      <c r="E460" s="93"/>
      <c r="F460" s="93">
        <f>743594207-371797104</f>
        <v>371797103</v>
      </c>
      <c r="G460" s="93"/>
      <c r="H460" s="94" t="s">
        <v>557</v>
      </c>
      <c r="I460" s="76" t="s">
        <v>558</v>
      </c>
      <c r="J460" s="124">
        <v>1</v>
      </c>
      <c r="K460" s="124">
        <v>2</v>
      </c>
      <c r="L460" s="124">
        <v>10</v>
      </c>
      <c r="M460" s="91">
        <v>1</v>
      </c>
      <c r="N460" s="98" t="s">
        <v>64</v>
      </c>
      <c r="O460" s="99" t="s">
        <v>65</v>
      </c>
      <c r="P460" s="100">
        <v>1</v>
      </c>
      <c r="Q460" s="101">
        <f t="shared" si="118"/>
        <v>371797103</v>
      </c>
      <c r="R460" s="101">
        <f t="shared" si="119"/>
        <v>371797103</v>
      </c>
      <c r="S460" s="102" t="s">
        <v>56</v>
      </c>
      <c r="T460" s="98">
        <v>0</v>
      </c>
      <c r="U460" s="27" t="str">
        <f t="shared" si="115"/>
        <v>SUBDIRECCION DE GESTION CONTRACTUAL</v>
      </c>
      <c r="V460" s="91" t="str">
        <f t="shared" si="116"/>
        <v>CO-DC</v>
      </c>
      <c r="W460" s="27" t="str">
        <f t="shared" si="117"/>
        <v>Distrito Capital de Bogotá</v>
      </c>
      <c r="X460" s="103" t="s">
        <v>528</v>
      </c>
      <c r="Y460" s="91">
        <v>2427400</v>
      </c>
      <c r="Z460" s="105" t="s">
        <v>529</v>
      </c>
    </row>
    <row r="461" spans="1:26" s="61" customFormat="1" ht="13.9" hidden="1" customHeight="1" x14ac:dyDescent="0.2">
      <c r="A461" s="90" t="s">
        <v>524</v>
      </c>
      <c r="B461" s="91">
        <v>36</v>
      </c>
      <c r="C461" s="92" t="s">
        <v>533</v>
      </c>
      <c r="D461" s="92" t="s">
        <v>537</v>
      </c>
      <c r="E461" s="93"/>
      <c r="F461" s="93">
        <f>495729478-247864739</f>
        <v>247864739</v>
      </c>
      <c r="G461" s="93"/>
      <c r="H461" s="94" t="s">
        <v>557</v>
      </c>
      <c r="I461" s="76" t="s">
        <v>558</v>
      </c>
      <c r="J461" s="124">
        <v>1</v>
      </c>
      <c r="K461" s="124">
        <v>2</v>
      </c>
      <c r="L461" s="124">
        <v>10</v>
      </c>
      <c r="M461" s="91">
        <v>1</v>
      </c>
      <c r="N461" s="98" t="s">
        <v>64</v>
      </c>
      <c r="O461" s="99" t="s">
        <v>65</v>
      </c>
      <c r="P461" s="100">
        <v>1</v>
      </c>
      <c r="Q461" s="101">
        <f t="shared" si="118"/>
        <v>247864739</v>
      </c>
      <c r="R461" s="101">
        <f t="shared" si="119"/>
        <v>247864739</v>
      </c>
      <c r="S461" s="102" t="s">
        <v>56</v>
      </c>
      <c r="T461" s="98">
        <v>0</v>
      </c>
      <c r="U461" s="27" t="str">
        <f t="shared" si="115"/>
        <v>SUBDIRECCION DE GESTION CONTRACTUAL</v>
      </c>
      <c r="V461" s="91" t="str">
        <f t="shared" si="116"/>
        <v>CO-DC</v>
      </c>
      <c r="W461" s="27" t="str">
        <f t="shared" si="117"/>
        <v>Distrito Capital de Bogotá</v>
      </c>
      <c r="X461" s="103" t="s">
        <v>528</v>
      </c>
      <c r="Y461" s="91">
        <v>2427400</v>
      </c>
      <c r="Z461" s="105" t="s">
        <v>529</v>
      </c>
    </row>
    <row r="462" spans="1:26" s="61" customFormat="1" ht="13.9" hidden="1" customHeight="1" x14ac:dyDescent="0.2">
      <c r="A462" s="90" t="s">
        <v>524</v>
      </c>
      <c r="B462" s="91">
        <v>37</v>
      </c>
      <c r="C462" s="92" t="s">
        <v>538</v>
      </c>
      <c r="D462" s="92" t="s">
        <v>539</v>
      </c>
      <c r="E462" s="93"/>
      <c r="F462" s="93">
        <v>162218545</v>
      </c>
      <c r="G462" s="93"/>
      <c r="H462" s="94" t="s">
        <v>557</v>
      </c>
      <c r="I462" s="76" t="s">
        <v>558</v>
      </c>
      <c r="J462" s="124">
        <v>1</v>
      </c>
      <c r="K462" s="124">
        <v>2</v>
      </c>
      <c r="L462" s="124">
        <v>11</v>
      </c>
      <c r="M462" s="91">
        <v>1</v>
      </c>
      <c r="N462" s="98" t="s">
        <v>64</v>
      </c>
      <c r="O462" s="99" t="s">
        <v>65</v>
      </c>
      <c r="P462" s="100">
        <v>1</v>
      </c>
      <c r="Q462" s="101">
        <f t="shared" si="118"/>
        <v>162218545</v>
      </c>
      <c r="R462" s="101">
        <f t="shared" si="119"/>
        <v>162218545</v>
      </c>
      <c r="S462" s="102" t="s">
        <v>56</v>
      </c>
      <c r="T462" s="98">
        <v>0</v>
      </c>
      <c r="U462" s="27" t="str">
        <f t="shared" si="115"/>
        <v>SUBDIRECCION DE GESTION CONTRACTUAL</v>
      </c>
      <c r="V462" s="91" t="str">
        <f t="shared" si="116"/>
        <v>CO-DC</v>
      </c>
      <c r="W462" s="27" t="str">
        <f t="shared" si="117"/>
        <v>Distrito Capital de Bogotá</v>
      </c>
      <c r="X462" s="103" t="s">
        <v>528</v>
      </c>
      <c r="Y462" s="91">
        <v>2427400</v>
      </c>
      <c r="Z462" s="105" t="s">
        <v>529</v>
      </c>
    </row>
    <row r="463" spans="1:26" s="61" customFormat="1" ht="13.9" hidden="1" customHeight="1" x14ac:dyDescent="0.2">
      <c r="A463" s="90" t="s">
        <v>524</v>
      </c>
      <c r="B463" s="91">
        <v>38</v>
      </c>
      <c r="C463" s="92" t="s">
        <v>538</v>
      </c>
      <c r="D463" s="92" t="s">
        <v>559</v>
      </c>
      <c r="E463" s="93"/>
      <c r="F463" s="93">
        <f>311310809-1</f>
        <v>311310808</v>
      </c>
      <c r="G463" s="93"/>
      <c r="H463" s="94" t="s">
        <v>557</v>
      </c>
      <c r="I463" s="76" t="s">
        <v>558</v>
      </c>
      <c r="J463" s="124">
        <v>1</v>
      </c>
      <c r="K463" s="124">
        <v>2</v>
      </c>
      <c r="L463" s="124">
        <v>10</v>
      </c>
      <c r="M463" s="91">
        <v>1</v>
      </c>
      <c r="N463" s="98" t="s">
        <v>64</v>
      </c>
      <c r="O463" s="99" t="s">
        <v>65</v>
      </c>
      <c r="P463" s="100">
        <v>1</v>
      </c>
      <c r="Q463" s="101">
        <f t="shared" si="118"/>
        <v>311310808</v>
      </c>
      <c r="R463" s="101">
        <f t="shared" si="119"/>
        <v>311310808</v>
      </c>
      <c r="S463" s="102" t="s">
        <v>56</v>
      </c>
      <c r="T463" s="98">
        <v>0</v>
      </c>
      <c r="U463" s="27" t="str">
        <f t="shared" si="115"/>
        <v>SUBDIRECCION DE GESTION CONTRACTUAL</v>
      </c>
      <c r="V463" s="91" t="str">
        <f t="shared" si="116"/>
        <v>CO-DC</v>
      </c>
      <c r="W463" s="27" t="str">
        <f t="shared" si="117"/>
        <v>Distrito Capital de Bogotá</v>
      </c>
      <c r="X463" s="103" t="s">
        <v>528</v>
      </c>
      <c r="Y463" s="91">
        <v>2427400</v>
      </c>
      <c r="Z463" s="105" t="s">
        <v>529</v>
      </c>
    </row>
    <row r="464" spans="1:26" s="5" customFormat="1" ht="12.75" hidden="1" customHeight="1" x14ac:dyDescent="0.2">
      <c r="A464" s="90" t="s">
        <v>524</v>
      </c>
      <c r="B464" s="91">
        <v>39</v>
      </c>
      <c r="C464" s="92" t="s">
        <v>538</v>
      </c>
      <c r="D464" s="92" t="s">
        <v>540</v>
      </c>
      <c r="E464" s="93"/>
      <c r="F464" s="93">
        <v>108145701</v>
      </c>
      <c r="G464" s="93"/>
      <c r="H464" s="94" t="s">
        <v>557</v>
      </c>
      <c r="I464" s="76" t="s">
        <v>558</v>
      </c>
      <c r="J464" s="124">
        <v>1</v>
      </c>
      <c r="K464" s="124">
        <v>2</v>
      </c>
      <c r="L464" s="124">
        <v>11</v>
      </c>
      <c r="M464" s="91">
        <v>1</v>
      </c>
      <c r="N464" s="98" t="s">
        <v>64</v>
      </c>
      <c r="O464" s="99" t="s">
        <v>65</v>
      </c>
      <c r="P464" s="100">
        <v>1</v>
      </c>
      <c r="Q464" s="101">
        <f t="shared" si="118"/>
        <v>108145701</v>
      </c>
      <c r="R464" s="101">
        <f t="shared" si="119"/>
        <v>108145701</v>
      </c>
      <c r="S464" s="102" t="s">
        <v>56</v>
      </c>
      <c r="T464" s="98">
        <v>0</v>
      </c>
      <c r="U464" s="27" t="str">
        <f t="shared" si="115"/>
        <v>SUBDIRECCION DE GESTION CONTRACTUAL</v>
      </c>
      <c r="V464" s="91" t="str">
        <f t="shared" si="116"/>
        <v>CO-DC</v>
      </c>
      <c r="W464" s="27" t="str">
        <f t="shared" si="117"/>
        <v>Distrito Capital de Bogotá</v>
      </c>
      <c r="X464" s="103" t="s">
        <v>528</v>
      </c>
      <c r="Y464" s="91">
        <v>2427400</v>
      </c>
      <c r="Z464" s="105" t="s">
        <v>529</v>
      </c>
    </row>
    <row r="465" spans="1:26" s="61" customFormat="1" ht="13.9" hidden="1" customHeight="1" x14ac:dyDescent="0.2">
      <c r="A465" s="90" t="s">
        <v>524</v>
      </c>
      <c r="B465" s="91">
        <v>40</v>
      </c>
      <c r="C465" s="92" t="s">
        <v>538</v>
      </c>
      <c r="D465" s="92" t="s">
        <v>560</v>
      </c>
      <c r="E465" s="93"/>
      <c r="F465" s="93">
        <v>207540539</v>
      </c>
      <c r="G465" s="93"/>
      <c r="H465" s="94" t="s">
        <v>557</v>
      </c>
      <c r="I465" s="76" t="s">
        <v>558</v>
      </c>
      <c r="J465" s="124">
        <v>1</v>
      </c>
      <c r="K465" s="124">
        <v>2</v>
      </c>
      <c r="L465" s="124">
        <v>11</v>
      </c>
      <c r="M465" s="91">
        <v>1</v>
      </c>
      <c r="N465" s="98" t="s">
        <v>64</v>
      </c>
      <c r="O465" s="99" t="s">
        <v>65</v>
      </c>
      <c r="P465" s="100">
        <v>1</v>
      </c>
      <c r="Q465" s="101">
        <f t="shared" si="118"/>
        <v>207540539</v>
      </c>
      <c r="R465" s="101">
        <f t="shared" si="119"/>
        <v>207540539</v>
      </c>
      <c r="S465" s="102" t="s">
        <v>56</v>
      </c>
      <c r="T465" s="98">
        <v>0</v>
      </c>
      <c r="U465" s="27" t="str">
        <f t="shared" si="115"/>
        <v>SUBDIRECCION DE GESTION CONTRACTUAL</v>
      </c>
      <c r="V465" s="91" t="str">
        <f t="shared" si="116"/>
        <v>CO-DC</v>
      </c>
      <c r="W465" s="27" t="str">
        <f t="shared" si="117"/>
        <v>Distrito Capital de Bogotá</v>
      </c>
      <c r="X465" s="103" t="s">
        <v>528</v>
      </c>
      <c r="Y465" s="91">
        <v>2427400</v>
      </c>
      <c r="Z465" s="105" t="s">
        <v>529</v>
      </c>
    </row>
    <row r="466" spans="1:26" s="61" customFormat="1" ht="13.9" hidden="1" customHeight="1" x14ac:dyDescent="0.2">
      <c r="A466" s="90" t="s">
        <v>524</v>
      </c>
      <c r="B466" s="91">
        <v>41</v>
      </c>
      <c r="C466" s="92" t="s">
        <v>538</v>
      </c>
      <c r="D466" s="92" t="s">
        <v>541</v>
      </c>
      <c r="E466" s="93"/>
      <c r="F466" s="93">
        <v>162218545</v>
      </c>
      <c r="G466" s="93"/>
      <c r="H466" s="94" t="s">
        <v>557</v>
      </c>
      <c r="I466" s="76" t="s">
        <v>558</v>
      </c>
      <c r="J466" s="124">
        <v>1</v>
      </c>
      <c r="K466" s="124">
        <v>2</v>
      </c>
      <c r="L466" s="124">
        <v>11</v>
      </c>
      <c r="M466" s="91">
        <v>1</v>
      </c>
      <c r="N466" s="98" t="s">
        <v>64</v>
      </c>
      <c r="O466" s="99" t="s">
        <v>65</v>
      </c>
      <c r="P466" s="100">
        <v>1</v>
      </c>
      <c r="Q466" s="101">
        <f t="shared" si="118"/>
        <v>162218545</v>
      </c>
      <c r="R466" s="101">
        <f t="shared" si="119"/>
        <v>162218545</v>
      </c>
      <c r="S466" s="102" t="s">
        <v>56</v>
      </c>
      <c r="T466" s="98">
        <v>0</v>
      </c>
      <c r="U466" s="27" t="str">
        <f t="shared" si="115"/>
        <v>SUBDIRECCION DE GESTION CONTRACTUAL</v>
      </c>
      <c r="V466" s="91" t="str">
        <f t="shared" si="116"/>
        <v>CO-DC</v>
      </c>
      <c r="W466" s="27" t="str">
        <f t="shared" si="117"/>
        <v>Distrito Capital de Bogotá</v>
      </c>
      <c r="X466" s="103" t="s">
        <v>528</v>
      </c>
      <c r="Y466" s="91">
        <v>2427400</v>
      </c>
      <c r="Z466" s="105" t="s">
        <v>529</v>
      </c>
    </row>
    <row r="467" spans="1:26" s="61" customFormat="1" ht="13.9" hidden="1" customHeight="1" x14ac:dyDescent="0.2">
      <c r="A467" s="90" t="s">
        <v>524</v>
      </c>
      <c r="B467" s="91">
        <v>42</v>
      </c>
      <c r="C467" s="92" t="s">
        <v>538</v>
      </c>
      <c r="D467" s="92" t="s">
        <v>561</v>
      </c>
      <c r="E467" s="93"/>
      <c r="F467" s="93">
        <v>311310809</v>
      </c>
      <c r="G467" s="93"/>
      <c r="H467" s="94" t="s">
        <v>557</v>
      </c>
      <c r="I467" s="76" t="s">
        <v>558</v>
      </c>
      <c r="J467" s="124">
        <v>1</v>
      </c>
      <c r="K467" s="124">
        <v>2</v>
      </c>
      <c r="L467" s="124">
        <v>11</v>
      </c>
      <c r="M467" s="91">
        <v>1</v>
      </c>
      <c r="N467" s="98" t="s">
        <v>64</v>
      </c>
      <c r="O467" s="99" t="s">
        <v>65</v>
      </c>
      <c r="P467" s="100">
        <v>1</v>
      </c>
      <c r="Q467" s="101">
        <f t="shared" si="118"/>
        <v>311310809</v>
      </c>
      <c r="R467" s="101">
        <f t="shared" si="119"/>
        <v>311310809</v>
      </c>
      <c r="S467" s="102" t="s">
        <v>56</v>
      </c>
      <c r="T467" s="98">
        <v>0</v>
      </c>
      <c r="U467" s="27" t="str">
        <f t="shared" si="115"/>
        <v>SUBDIRECCION DE GESTION CONTRACTUAL</v>
      </c>
      <c r="V467" s="91" t="str">
        <f t="shared" si="116"/>
        <v>CO-DC</v>
      </c>
      <c r="W467" s="27" t="str">
        <f t="shared" si="117"/>
        <v>Distrito Capital de Bogotá</v>
      </c>
      <c r="X467" s="103" t="s">
        <v>528</v>
      </c>
      <c r="Y467" s="91">
        <v>2427400</v>
      </c>
      <c r="Z467" s="105" t="s">
        <v>529</v>
      </c>
    </row>
    <row r="468" spans="1:26" s="61" customFormat="1" ht="13.9" hidden="1" customHeight="1" x14ac:dyDescent="0.2">
      <c r="A468" s="90" t="s">
        <v>524</v>
      </c>
      <c r="B468" s="91">
        <v>43</v>
      </c>
      <c r="C468" s="92" t="s">
        <v>538</v>
      </c>
      <c r="D468" s="92" t="s">
        <v>542</v>
      </c>
      <c r="E468" s="93"/>
      <c r="F468" s="93">
        <v>108145701</v>
      </c>
      <c r="G468" s="93"/>
      <c r="H468" s="94" t="s">
        <v>557</v>
      </c>
      <c r="I468" s="76" t="s">
        <v>558</v>
      </c>
      <c r="J468" s="124">
        <v>1</v>
      </c>
      <c r="K468" s="124">
        <v>2</v>
      </c>
      <c r="L468" s="124">
        <v>11</v>
      </c>
      <c r="M468" s="91">
        <v>1</v>
      </c>
      <c r="N468" s="98" t="s">
        <v>64</v>
      </c>
      <c r="O468" s="99" t="s">
        <v>65</v>
      </c>
      <c r="P468" s="100">
        <v>1</v>
      </c>
      <c r="Q468" s="101">
        <f t="shared" si="118"/>
        <v>108145701</v>
      </c>
      <c r="R468" s="101">
        <f t="shared" si="119"/>
        <v>108145701</v>
      </c>
      <c r="S468" s="102" t="s">
        <v>56</v>
      </c>
      <c r="T468" s="98">
        <v>0</v>
      </c>
      <c r="U468" s="27" t="str">
        <f t="shared" si="115"/>
        <v>SUBDIRECCION DE GESTION CONTRACTUAL</v>
      </c>
      <c r="V468" s="91" t="str">
        <f t="shared" si="116"/>
        <v>CO-DC</v>
      </c>
      <c r="W468" s="27" t="str">
        <f t="shared" si="117"/>
        <v>Distrito Capital de Bogotá</v>
      </c>
      <c r="X468" s="103" t="s">
        <v>528</v>
      </c>
      <c r="Y468" s="91">
        <v>2427400</v>
      </c>
      <c r="Z468" s="105" t="s">
        <v>529</v>
      </c>
    </row>
    <row r="469" spans="1:26" s="61" customFormat="1" ht="13.9" hidden="1" customHeight="1" x14ac:dyDescent="0.2">
      <c r="A469" s="90" t="s">
        <v>524</v>
      </c>
      <c r="B469" s="91">
        <v>44</v>
      </c>
      <c r="C469" s="92" t="s">
        <v>538</v>
      </c>
      <c r="D469" s="92" t="s">
        <v>562</v>
      </c>
      <c r="E469" s="93"/>
      <c r="F469" s="93">
        <f>207540539+1</f>
        <v>207540540</v>
      </c>
      <c r="G469" s="93"/>
      <c r="H469" s="94" t="s">
        <v>557</v>
      </c>
      <c r="I469" s="76" t="s">
        <v>558</v>
      </c>
      <c r="J469" s="124">
        <v>1</v>
      </c>
      <c r="K469" s="124">
        <v>2</v>
      </c>
      <c r="L469" s="124">
        <v>10</v>
      </c>
      <c r="M469" s="91">
        <v>1</v>
      </c>
      <c r="N469" s="98" t="s">
        <v>64</v>
      </c>
      <c r="O469" s="99" t="s">
        <v>65</v>
      </c>
      <c r="P469" s="100">
        <v>1</v>
      </c>
      <c r="Q469" s="101">
        <f t="shared" si="118"/>
        <v>207540540</v>
      </c>
      <c r="R469" s="101">
        <f t="shared" si="119"/>
        <v>207540540</v>
      </c>
      <c r="S469" s="102" t="s">
        <v>56</v>
      </c>
      <c r="T469" s="98">
        <v>0</v>
      </c>
      <c r="U469" s="27" t="str">
        <f t="shared" si="115"/>
        <v>SUBDIRECCION DE GESTION CONTRACTUAL</v>
      </c>
      <c r="V469" s="91" t="str">
        <f t="shared" si="116"/>
        <v>CO-DC</v>
      </c>
      <c r="W469" s="27" t="str">
        <f t="shared" si="117"/>
        <v>Distrito Capital de Bogotá</v>
      </c>
      <c r="X469" s="103" t="s">
        <v>528</v>
      </c>
      <c r="Y469" s="91">
        <v>2427400</v>
      </c>
      <c r="Z469" s="105" t="s">
        <v>529</v>
      </c>
    </row>
    <row r="470" spans="1:26" s="5" customFormat="1" ht="12.75" hidden="1" customHeight="1" x14ac:dyDescent="0.2">
      <c r="A470" s="90" t="s">
        <v>524</v>
      </c>
      <c r="B470" s="91">
        <v>45</v>
      </c>
      <c r="C470" s="92" t="s">
        <v>543</v>
      </c>
      <c r="D470" s="92" t="s">
        <v>544</v>
      </c>
      <c r="E470" s="93"/>
      <c r="F470" s="93">
        <f>70462610-60442512+29217032</f>
        <v>39237130</v>
      </c>
      <c r="G470" s="93"/>
      <c r="H470" s="94" t="s">
        <v>557</v>
      </c>
      <c r="I470" s="76" t="s">
        <v>558</v>
      </c>
      <c r="J470" s="124">
        <v>1</v>
      </c>
      <c r="K470" s="124">
        <v>2</v>
      </c>
      <c r="L470" s="124">
        <v>10</v>
      </c>
      <c r="M470" s="91">
        <v>1</v>
      </c>
      <c r="N470" s="98" t="s">
        <v>64</v>
      </c>
      <c r="O470" s="99" t="s">
        <v>65</v>
      </c>
      <c r="P470" s="100">
        <v>1</v>
      </c>
      <c r="Q470" s="101">
        <f t="shared" si="118"/>
        <v>39237130</v>
      </c>
      <c r="R470" s="101">
        <f t="shared" si="119"/>
        <v>39237130</v>
      </c>
      <c r="S470" s="102" t="s">
        <v>56</v>
      </c>
      <c r="T470" s="98">
        <v>0</v>
      </c>
      <c r="U470" s="27" t="str">
        <f t="shared" si="115"/>
        <v>SUBDIRECCION DE GESTION CONTRACTUAL</v>
      </c>
      <c r="V470" s="91" t="str">
        <f t="shared" si="116"/>
        <v>CO-DC</v>
      </c>
      <c r="W470" s="27" t="str">
        <f t="shared" si="117"/>
        <v>Distrito Capital de Bogotá</v>
      </c>
      <c r="X470" s="103" t="s">
        <v>563</v>
      </c>
      <c r="Y470" s="91">
        <v>2427400</v>
      </c>
      <c r="Z470" s="105" t="s">
        <v>529</v>
      </c>
    </row>
    <row r="471" spans="1:26" s="61" customFormat="1" ht="13.9" hidden="1" customHeight="1" x14ac:dyDescent="0.2">
      <c r="A471" s="90" t="s">
        <v>524</v>
      </c>
      <c r="B471" s="91">
        <v>46</v>
      </c>
      <c r="C471" s="92" t="s">
        <v>543</v>
      </c>
      <c r="D471" s="92" t="s">
        <v>545</v>
      </c>
      <c r="E471" s="93"/>
      <c r="F471" s="93">
        <f>234045807-172236443+58063164</f>
        <v>119872528</v>
      </c>
      <c r="G471" s="93"/>
      <c r="H471" s="94" t="s">
        <v>557</v>
      </c>
      <c r="I471" s="76" t="s">
        <v>558</v>
      </c>
      <c r="J471" s="124">
        <v>1</v>
      </c>
      <c r="K471" s="124">
        <v>2</v>
      </c>
      <c r="L471" s="124">
        <v>10</v>
      </c>
      <c r="M471" s="91">
        <v>1</v>
      </c>
      <c r="N471" s="98" t="s">
        <v>64</v>
      </c>
      <c r="O471" s="99" t="s">
        <v>65</v>
      </c>
      <c r="P471" s="100">
        <v>1</v>
      </c>
      <c r="Q471" s="101">
        <f t="shared" si="118"/>
        <v>119872528</v>
      </c>
      <c r="R471" s="101">
        <f t="shared" si="119"/>
        <v>119872528</v>
      </c>
      <c r="S471" s="102" t="s">
        <v>56</v>
      </c>
      <c r="T471" s="98">
        <v>0</v>
      </c>
      <c r="U471" s="27" t="str">
        <f t="shared" si="115"/>
        <v>SUBDIRECCION DE GESTION CONTRACTUAL</v>
      </c>
      <c r="V471" s="91" t="str">
        <f t="shared" si="116"/>
        <v>CO-DC</v>
      </c>
      <c r="W471" s="27" t="str">
        <f t="shared" si="117"/>
        <v>Distrito Capital de Bogotá</v>
      </c>
      <c r="X471" s="103" t="s">
        <v>563</v>
      </c>
      <c r="Y471" s="91">
        <v>2427400</v>
      </c>
      <c r="Z471" s="105" t="s">
        <v>529</v>
      </c>
    </row>
    <row r="472" spans="1:26" s="61" customFormat="1" ht="13.9" hidden="1" customHeight="1" x14ac:dyDescent="0.2">
      <c r="A472" s="90" t="s">
        <v>524</v>
      </c>
      <c r="B472" s="91">
        <v>47</v>
      </c>
      <c r="C472" s="92" t="s">
        <v>543</v>
      </c>
      <c r="D472" s="92" t="s">
        <v>546</v>
      </c>
      <c r="E472" s="93"/>
      <c r="F472" s="93">
        <f>285386564-193756461+8000000</f>
        <v>99630103</v>
      </c>
      <c r="G472" s="93"/>
      <c r="H472" s="94" t="s">
        <v>557</v>
      </c>
      <c r="I472" s="76" t="s">
        <v>558</v>
      </c>
      <c r="J472" s="124">
        <v>1</v>
      </c>
      <c r="K472" s="124">
        <v>2</v>
      </c>
      <c r="L472" s="124">
        <v>10</v>
      </c>
      <c r="M472" s="91">
        <v>1</v>
      </c>
      <c r="N472" s="98" t="s">
        <v>64</v>
      </c>
      <c r="O472" s="99" t="s">
        <v>65</v>
      </c>
      <c r="P472" s="100">
        <v>1</v>
      </c>
      <c r="Q472" s="101">
        <f t="shared" si="118"/>
        <v>99630103</v>
      </c>
      <c r="R472" s="101">
        <f t="shared" si="119"/>
        <v>99630103</v>
      </c>
      <c r="S472" s="102" t="s">
        <v>56</v>
      </c>
      <c r="T472" s="98">
        <v>0</v>
      </c>
      <c r="U472" s="27" t="str">
        <f t="shared" si="115"/>
        <v>SUBDIRECCION DE GESTION CONTRACTUAL</v>
      </c>
      <c r="V472" s="91" t="str">
        <f t="shared" si="116"/>
        <v>CO-DC</v>
      </c>
      <c r="W472" s="27" t="str">
        <f t="shared" si="117"/>
        <v>Distrito Capital de Bogotá</v>
      </c>
      <c r="X472" s="103" t="s">
        <v>563</v>
      </c>
      <c r="Y472" s="91">
        <v>2427400</v>
      </c>
      <c r="Z472" s="105" t="s">
        <v>529</v>
      </c>
    </row>
    <row r="473" spans="1:26" s="61" customFormat="1" ht="13.9" hidden="1" customHeight="1" x14ac:dyDescent="0.2">
      <c r="A473" s="90" t="s">
        <v>524</v>
      </c>
      <c r="B473" s="91">
        <v>48</v>
      </c>
      <c r="C473" s="92" t="s">
        <v>543</v>
      </c>
      <c r="D473" s="92" t="s">
        <v>547</v>
      </c>
      <c r="E473" s="93"/>
      <c r="F473" s="93">
        <f>46975071-23487536</f>
        <v>23487535</v>
      </c>
      <c r="G473" s="93"/>
      <c r="H473" s="94" t="s">
        <v>557</v>
      </c>
      <c r="I473" s="76" t="s">
        <v>558</v>
      </c>
      <c r="J473" s="124">
        <v>1</v>
      </c>
      <c r="K473" s="124">
        <v>2</v>
      </c>
      <c r="L473" s="124">
        <v>10</v>
      </c>
      <c r="M473" s="91">
        <v>1</v>
      </c>
      <c r="N473" s="98" t="s">
        <v>64</v>
      </c>
      <c r="O473" s="99" t="s">
        <v>65</v>
      </c>
      <c r="P473" s="100">
        <v>1</v>
      </c>
      <c r="Q473" s="101">
        <f t="shared" si="118"/>
        <v>23487535</v>
      </c>
      <c r="R473" s="101">
        <f t="shared" si="119"/>
        <v>23487535</v>
      </c>
      <c r="S473" s="102" t="s">
        <v>56</v>
      </c>
      <c r="T473" s="98">
        <v>0</v>
      </c>
      <c r="U473" s="27" t="str">
        <f t="shared" si="115"/>
        <v>SUBDIRECCION DE GESTION CONTRACTUAL</v>
      </c>
      <c r="V473" s="91" t="str">
        <f t="shared" si="116"/>
        <v>CO-DC</v>
      </c>
      <c r="W473" s="27" t="str">
        <f t="shared" si="117"/>
        <v>Distrito Capital de Bogotá</v>
      </c>
      <c r="X473" s="103" t="s">
        <v>563</v>
      </c>
      <c r="Y473" s="91">
        <v>2427400</v>
      </c>
      <c r="Z473" s="105" t="s">
        <v>529</v>
      </c>
    </row>
    <row r="474" spans="1:26" s="61" customFormat="1" ht="13.9" hidden="1" customHeight="1" x14ac:dyDescent="0.2">
      <c r="A474" s="90" t="s">
        <v>524</v>
      </c>
      <c r="B474" s="91">
        <v>49</v>
      </c>
      <c r="C474" s="92" t="s">
        <v>543</v>
      </c>
      <c r="D474" s="92" t="s">
        <v>548</v>
      </c>
      <c r="E474" s="93"/>
      <c r="F474" s="93">
        <f>156030538-78015269</f>
        <v>78015269</v>
      </c>
      <c r="G474" s="93"/>
      <c r="H474" s="94" t="s">
        <v>557</v>
      </c>
      <c r="I474" s="76" t="s">
        <v>558</v>
      </c>
      <c r="J474" s="124">
        <v>1</v>
      </c>
      <c r="K474" s="124">
        <v>2</v>
      </c>
      <c r="L474" s="124">
        <v>10</v>
      </c>
      <c r="M474" s="91">
        <v>1</v>
      </c>
      <c r="N474" s="98" t="s">
        <v>64</v>
      </c>
      <c r="O474" s="99" t="s">
        <v>65</v>
      </c>
      <c r="P474" s="100">
        <v>1</v>
      </c>
      <c r="Q474" s="101">
        <f t="shared" si="118"/>
        <v>78015269</v>
      </c>
      <c r="R474" s="101">
        <f t="shared" si="119"/>
        <v>78015269</v>
      </c>
      <c r="S474" s="102" t="s">
        <v>56</v>
      </c>
      <c r="T474" s="98">
        <v>0</v>
      </c>
      <c r="U474" s="27" t="str">
        <f t="shared" si="115"/>
        <v>SUBDIRECCION DE GESTION CONTRACTUAL</v>
      </c>
      <c r="V474" s="91" t="str">
        <f t="shared" si="116"/>
        <v>CO-DC</v>
      </c>
      <c r="W474" s="27" t="str">
        <f t="shared" si="117"/>
        <v>Distrito Capital de Bogotá</v>
      </c>
      <c r="X474" s="103" t="s">
        <v>563</v>
      </c>
      <c r="Y474" s="91">
        <v>2427400</v>
      </c>
      <c r="Z474" s="105" t="s">
        <v>529</v>
      </c>
    </row>
    <row r="475" spans="1:26" s="61" customFormat="1" ht="13.9" hidden="1" customHeight="1" x14ac:dyDescent="0.2">
      <c r="A475" s="90" t="s">
        <v>524</v>
      </c>
      <c r="B475" s="91">
        <v>50</v>
      </c>
      <c r="C475" s="92" t="s">
        <v>543</v>
      </c>
      <c r="D475" s="92" t="s">
        <v>549</v>
      </c>
      <c r="E475" s="93"/>
      <c r="F475" s="93">
        <f>190257716-95128858</f>
        <v>95128858</v>
      </c>
      <c r="G475" s="93"/>
      <c r="H475" s="94" t="s">
        <v>557</v>
      </c>
      <c r="I475" s="76" t="s">
        <v>558</v>
      </c>
      <c r="J475" s="124">
        <v>1</v>
      </c>
      <c r="K475" s="124">
        <v>2</v>
      </c>
      <c r="L475" s="124">
        <v>10</v>
      </c>
      <c r="M475" s="91">
        <v>1</v>
      </c>
      <c r="N475" s="98" t="s">
        <v>64</v>
      </c>
      <c r="O475" s="99" t="s">
        <v>65</v>
      </c>
      <c r="P475" s="100">
        <v>1</v>
      </c>
      <c r="Q475" s="101">
        <f t="shared" ref="Q475:Q485" si="120">+E475+F475+G475</f>
        <v>95128858</v>
      </c>
      <c r="R475" s="101">
        <f t="shared" ref="R475:R485" si="121">+F475</f>
        <v>95128858</v>
      </c>
      <c r="S475" s="102" t="s">
        <v>56</v>
      </c>
      <c r="T475" s="98">
        <v>0</v>
      </c>
      <c r="U475" s="27" t="str">
        <f t="shared" si="115"/>
        <v>SUBDIRECCION DE GESTION CONTRACTUAL</v>
      </c>
      <c r="V475" s="91" t="str">
        <f t="shared" si="116"/>
        <v>CO-DC</v>
      </c>
      <c r="W475" s="27" t="str">
        <f t="shared" si="117"/>
        <v>Distrito Capital de Bogotá</v>
      </c>
      <c r="X475" s="103" t="s">
        <v>563</v>
      </c>
      <c r="Y475" s="91">
        <v>2427400</v>
      </c>
      <c r="Z475" s="105" t="s">
        <v>529</v>
      </c>
    </row>
    <row r="476" spans="1:26" s="5" customFormat="1" ht="12.75" hidden="1" customHeight="1" x14ac:dyDescent="0.2">
      <c r="A476" s="90" t="s">
        <v>524</v>
      </c>
      <c r="B476" s="91">
        <v>51</v>
      </c>
      <c r="C476" s="92" t="s">
        <v>543</v>
      </c>
      <c r="D476" s="92" t="s">
        <v>550</v>
      </c>
      <c r="E476" s="93"/>
      <c r="F476" s="93">
        <f>70462610-35231305</f>
        <v>35231305</v>
      </c>
      <c r="G476" s="93"/>
      <c r="H476" s="94" t="s">
        <v>557</v>
      </c>
      <c r="I476" s="76" t="s">
        <v>558</v>
      </c>
      <c r="J476" s="124">
        <v>1</v>
      </c>
      <c r="K476" s="124">
        <v>2</v>
      </c>
      <c r="L476" s="124">
        <v>10</v>
      </c>
      <c r="M476" s="91">
        <v>1</v>
      </c>
      <c r="N476" s="98" t="s">
        <v>64</v>
      </c>
      <c r="O476" s="99" t="s">
        <v>65</v>
      </c>
      <c r="P476" s="100">
        <v>1</v>
      </c>
      <c r="Q476" s="101">
        <f t="shared" si="120"/>
        <v>35231305</v>
      </c>
      <c r="R476" s="101">
        <f t="shared" si="121"/>
        <v>35231305</v>
      </c>
      <c r="S476" s="102" t="s">
        <v>56</v>
      </c>
      <c r="T476" s="98">
        <v>0</v>
      </c>
      <c r="U476" s="27" t="str">
        <f t="shared" si="115"/>
        <v>SUBDIRECCION DE GESTION CONTRACTUAL</v>
      </c>
      <c r="V476" s="91" t="str">
        <f t="shared" si="116"/>
        <v>CO-DC</v>
      </c>
      <c r="W476" s="27" t="str">
        <f t="shared" si="117"/>
        <v>Distrito Capital de Bogotá</v>
      </c>
      <c r="X476" s="103" t="s">
        <v>563</v>
      </c>
      <c r="Y476" s="91">
        <v>2427400</v>
      </c>
      <c r="Z476" s="105" t="s">
        <v>529</v>
      </c>
    </row>
    <row r="477" spans="1:26" s="61" customFormat="1" ht="13.9" hidden="1" customHeight="1" x14ac:dyDescent="0.2">
      <c r="A477" s="90" t="s">
        <v>524</v>
      </c>
      <c r="B477" s="91">
        <v>52</v>
      </c>
      <c r="C477" s="92" t="s">
        <v>543</v>
      </c>
      <c r="D477" s="92" t="s">
        <v>551</v>
      </c>
      <c r="E477" s="93"/>
      <c r="F477" s="93">
        <f>234045810-117022905</f>
        <v>117022905</v>
      </c>
      <c r="G477" s="93"/>
      <c r="H477" s="94" t="s">
        <v>557</v>
      </c>
      <c r="I477" s="76" t="s">
        <v>558</v>
      </c>
      <c r="J477" s="124">
        <v>1</v>
      </c>
      <c r="K477" s="124">
        <v>2</v>
      </c>
      <c r="L477" s="124">
        <v>10</v>
      </c>
      <c r="M477" s="91">
        <v>1</v>
      </c>
      <c r="N477" s="98" t="s">
        <v>64</v>
      </c>
      <c r="O477" s="99" t="s">
        <v>65</v>
      </c>
      <c r="P477" s="100">
        <v>1</v>
      </c>
      <c r="Q477" s="101">
        <f t="shared" si="120"/>
        <v>117022905</v>
      </c>
      <c r="R477" s="101">
        <f t="shared" si="121"/>
        <v>117022905</v>
      </c>
      <c r="S477" s="102" t="s">
        <v>56</v>
      </c>
      <c r="T477" s="98">
        <v>0</v>
      </c>
      <c r="U477" s="27" t="str">
        <f t="shared" si="115"/>
        <v>SUBDIRECCION DE GESTION CONTRACTUAL</v>
      </c>
      <c r="V477" s="91" t="str">
        <f t="shared" si="116"/>
        <v>CO-DC</v>
      </c>
      <c r="W477" s="27" t="str">
        <f t="shared" si="117"/>
        <v>Distrito Capital de Bogotá</v>
      </c>
      <c r="X477" s="103" t="s">
        <v>563</v>
      </c>
      <c r="Y477" s="91">
        <v>2427400</v>
      </c>
      <c r="Z477" s="105" t="s">
        <v>529</v>
      </c>
    </row>
    <row r="478" spans="1:26" s="61" customFormat="1" ht="13.9" hidden="1" customHeight="1" x14ac:dyDescent="0.2">
      <c r="A478" s="90" t="s">
        <v>524</v>
      </c>
      <c r="B478" s="91">
        <v>53</v>
      </c>
      <c r="C478" s="92" t="s">
        <v>543</v>
      </c>
      <c r="D478" s="92" t="s">
        <v>552</v>
      </c>
      <c r="E478" s="93"/>
      <c r="F478" s="93">
        <f>285386566-142693283</f>
        <v>142693283</v>
      </c>
      <c r="G478" s="93"/>
      <c r="H478" s="94" t="s">
        <v>557</v>
      </c>
      <c r="I478" s="76" t="s">
        <v>558</v>
      </c>
      <c r="J478" s="124">
        <v>1</v>
      </c>
      <c r="K478" s="124">
        <v>2</v>
      </c>
      <c r="L478" s="124">
        <v>10</v>
      </c>
      <c r="M478" s="91">
        <v>1</v>
      </c>
      <c r="N478" s="98" t="s">
        <v>64</v>
      </c>
      <c r="O478" s="99" t="s">
        <v>65</v>
      </c>
      <c r="P478" s="100">
        <v>1</v>
      </c>
      <c r="Q478" s="101">
        <f t="shared" si="120"/>
        <v>142693283</v>
      </c>
      <c r="R478" s="101">
        <f t="shared" si="121"/>
        <v>142693283</v>
      </c>
      <c r="S478" s="102" t="s">
        <v>56</v>
      </c>
      <c r="T478" s="98">
        <v>0</v>
      </c>
      <c r="U478" s="27" t="str">
        <f t="shared" si="115"/>
        <v>SUBDIRECCION DE GESTION CONTRACTUAL</v>
      </c>
      <c r="V478" s="91" t="str">
        <f t="shared" si="116"/>
        <v>CO-DC</v>
      </c>
      <c r="W478" s="27" t="str">
        <f t="shared" si="117"/>
        <v>Distrito Capital de Bogotá</v>
      </c>
      <c r="X478" s="103" t="s">
        <v>563</v>
      </c>
      <c r="Y478" s="91">
        <v>2427400</v>
      </c>
      <c r="Z478" s="105" t="s">
        <v>529</v>
      </c>
    </row>
    <row r="479" spans="1:26" s="61" customFormat="1" ht="13.9" hidden="1" customHeight="1" x14ac:dyDescent="0.2">
      <c r="A479" s="90" t="s">
        <v>524</v>
      </c>
      <c r="B479" s="91">
        <v>54</v>
      </c>
      <c r="C479" s="92" t="s">
        <v>543</v>
      </c>
      <c r="D479" s="92" t="s">
        <v>553</v>
      </c>
      <c r="E479" s="93"/>
      <c r="F479" s="93">
        <f>46975071- 23487536+6841898</f>
        <v>30329433</v>
      </c>
      <c r="G479" s="93"/>
      <c r="H479" s="94" t="s">
        <v>557</v>
      </c>
      <c r="I479" s="76" t="s">
        <v>558</v>
      </c>
      <c r="J479" s="124">
        <v>1</v>
      </c>
      <c r="K479" s="124">
        <v>2</v>
      </c>
      <c r="L479" s="124">
        <v>10</v>
      </c>
      <c r="M479" s="91">
        <v>1</v>
      </c>
      <c r="N479" s="98" t="s">
        <v>64</v>
      </c>
      <c r="O479" s="99" t="s">
        <v>65</v>
      </c>
      <c r="P479" s="100">
        <v>1</v>
      </c>
      <c r="Q479" s="101">
        <f t="shared" si="120"/>
        <v>30329433</v>
      </c>
      <c r="R479" s="101">
        <f t="shared" si="121"/>
        <v>30329433</v>
      </c>
      <c r="S479" s="102" t="s">
        <v>56</v>
      </c>
      <c r="T479" s="98">
        <v>0</v>
      </c>
      <c r="U479" s="27" t="str">
        <f t="shared" si="115"/>
        <v>SUBDIRECCION DE GESTION CONTRACTUAL</v>
      </c>
      <c r="V479" s="91" t="str">
        <f t="shared" si="116"/>
        <v>CO-DC</v>
      </c>
      <c r="W479" s="27" t="str">
        <f t="shared" si="117"/>
        <v>Distrito Capital de Bogotá</v>
      </c>
      <c r="X479" s="103" t="s">
        <v>563</v>
      </c>
      <c r="Y479" s="91">
        <v>2427400</v>
      </c>
      <c r="Z479" s="105" t="s">
        <v>529</v>
      </c>
    </row>
    <row r="480" spans="1:26" s="61" customFormat="1" ht="13.9" hidden="1" customHeight="1" x14ac:dyDescent="0.2">
      <c r="A480" s="90" t="s">
        <v>524</v>
      </c>
      <c r="B480" s="91">
        <v>55</v>
      </c>
      <c r="C480" s="92" t="s">
        <v>543</v>
      </c>
      <c r="D480" s="92" t="s">
        <v>554</v>
      </c>
      <c r="E480" s="93"/>
      <c r="F480" s="93">
        <f>156030538-78015269+4109051</f>
        <v>82124320</v>
      </c>
      <c r="G480" s="93"/>
      <c r="H480" s="94" t="s">
        <v>557</v>
      </c>
      <c r="I480" s="76" t="s">
        <v>558</v>
      </c>
      <c r="J480" s="124">
        <v>1</v>
      </c>
      <c r="K480" s="124">
        <v>2</v>
      </c>
      <c r="L480" s="124">
        <v>10</v>
      </c>
      <c r="M480" s="91">
        <v>1</v>
      </c>
      <c r="N480" s="98" t="s">
        <v>64</v>
      </c>
      <c r="O480" s="99" t="s">
        <v>65</v>
      </c>
      <c r="P480" s="100">
        <v>1</v>
      </c>
      <c r="Q480" s="101">
        <f t="shared" si="120"/>
        <v>82124320</v>
      </c>
      <c r="R480" s="101">
        <f t="shared" si="121"/>
        <v>82124320</v>
      </c>
      <c r="S480" s="102" t="s">
        <v>56</v>
      </c>
      <c r="T480" s="98">
        <v>0</v>
      </c>
      <c r="U480" s="27" t="str">
        <f t="shared" ref="U480:U523" si="122">IF(ISBLANK(N480),"","SUBDIRECCION DE GESTION CONTRACTUAL")</f>
        <v>SUBDIRECCION DE GESTION CONTRACTUAL</v>
      </c>
      <c r="V480" s="91" t="str">
        <f t="shared" ref="V480:V523" si="123">IF(ISBLANK(N480),"","CO-DC")</f>
        <v>CO-DC</v>
      </c>
      <c r="W480" s="27" t="str">
        <f t="shared" ref="W480:W523" si="124">IF(ISBLANK(N480),"","Distrito Capital de Bogotá")</f>
        <v>Distrito Capital de Bogotá</v>
      </c>
      <c r="X480" s="103" t="s">
        <v>563</v>
      </c>
      <c r="Y480" s="91">
        <v>2427400</v>
      </c>
      <c r="Z480" s="105" t="s">
        <v>529</v>
      </c>
    </row>
    <row r="481" spans="1:26" s="61" customFormat="1" ht="13.9" hidden="1" customHeight="1" x14ac:dyDescent="0.2">
      <c r="A481" s="90" t="s">
        <v>524</v>
      </c>
      <c r="B481" s="91">
        <v>56</v>
      </c>
      <c r="C481" s="92" t="s">
        <v>543</v>
      </c>
      <c r="D481" s="92" t="s">
        <v>555</v>
      </c>
      <c r="E481" s="93"/>
      <c r="F481" s="93">
        <f>190257716-95128858+4023333</f>
        <v>99152191</v>
      </c>
      <c r="G481" s="93"/>
      <c r="H481" s="94" t="s">
        <v>557</v>
      </c>
      <c r="I481" s="76" t="s">
        <v>558</v>
      </c>
      <c r="J481" s="124">
        <v>1</v>
      </c>
      <c r="K481" s="124">
        <v>2</v>
      </c>
      <c r="L481" s="124">
        <v>10</v>
      </c>
      <c r="M481" s="91">
        <v>1</v>
      </c>
      <c r="N481" s="98" t="s">
        <v>64</v>
      </c>
      <c r="O481" s="99" t="s">
        <v>65</v>
      </c>
      <c r="P481" s="100">
        <v>1</v>
      </c>
      <c r="Q481" s="101">
        <f t="shared" si="120"/>
        <v>99152191</v>
      </c>
      <c r="R481" s="101">
        <f t="shared" si="121"/>
        <v>99152191</v>
      </c>
      <c r="S481" s="102" t="s">
        <v>56</v>
      </c>
      <c r="T481" s="98">
        <v>0</v>
      </c>
      <c r="U481" s="27" t="str">
        <f t="shared" si="122"/>
        <v>SUBDIRECCION DE GESTION CONTRACTUAL</v>
      </c>
      <c r="V481" s="91" t="str">
        <f t="shared" si="123"/>
        <v>CO-DC</v>
      </c>
      <c r="W481" s="27" t="str">
        <f t="shared" si="124"/>
        <v>Distrito Capital de Bogotá</v>
      </c>
      <c r="X481" s="103" t="s">
        <v>563</v>
      </c>
      <c r="Y481" s="91">
        <v>2427400</v>
      </c>
      <c r="Z481" s="105" t="s">
        <v>529</v>
      </c>
    </row>
    <row r="482" spans="1:26" s="5" customFormat="1" ht="12.75" hidden="1" customHeight="1" x14ac:dyDescent="0.2">
      <c r="A482" s="90" t="s">
        <v>524</v>
      </c>
      <c r="B482" s="91">
        <v>57</v>
      </c>
      <c r="C482" s="92" t="s">
        <v>556</v>
      </c>
      <c r="D482" s="92" t="s">
        <v>545</v>
      </c>
      <c r="E482" s="93"/>
      <c r="F482" s="93">
        <f>327166403-186604992+16043580</f>
        <v>156604991</v>
      </c>
      <c r="G482" s="93"/>
      <c r="H482" s="94" t="s">
        <v>557</v>
      </c>
      <c r="I482" s="76" t="s">
        <v>558</v>
      </c>
      <c r="J482" s="124">
        <v>1</v>
      </c>
      <c r="K482" s="124">
        <v>2</v>
      </c>
      <c r="L482" s="124">
        <v>10</v>
      </c>
      <c r="M482" s="91">
        <v>1</v>
      </c>
      <c r="N482" s="98" t="s">
        <v>64</v>
      </c>
      <c r="O482" s="99" t="s">
        <v>65</v>
      </c>
      <c r="P482" s="100">
        <v>1</v>
      </c>
      <c r="Q482" s="101">
        <f t="shared" si="120"/>
        <v>156604991</v>
      </c>
      <c r="R482" s="101">
        <f t="shared" si="121"/>
        <v>156604991</v>
      </c>
      <c r="S482" s="102" t="s">
        <v>56</v>
      </c>
      <c r="T482" s="98">
        <v>0</v>
      </c>
      <c r="U482" s="27" t="str">
        <f t="shared" si="122"/>
        <v>SUBDIRECCION DE GESTION CONTRACTUAL</v>
      </c>
      <c r="V482" s="91" t="str">
        <f t="shared" si="123"/>
        <v>CO-DC</v>
      </c>
      <c r="W482" s="27" t="str">
        <f t="shared" si="124"/>
        <v>Distrito Capital de Bogotá</v>
      </c>
      <c r="X482" s="103" t="s">
        <v>563</v>
      </c>
      <c r="Y482" s="91">
        <v>2427400</v>
      </c>
      <c r="Z482" s="105" t="s">
        <v>529</v>
      </c>
    </row>
    <row r="483" spans="1:26" s="61" customFormat="1" ht="13.9" hidden="1" customHeight="1" x14ac:dyDescent="0.2">
      <c r="A483" s="90" t="s">
        <v>524</v>
      </c>
      <c r="B483" s="91">
        <v>58</v>
      </c>
      <c r="C483" s="92" t="s">
        <v>556</v>
      </c>
      <c r="D483" s="92" t="s">
        <v>548</v>
      </c>
      <c r="E483" s="93"/>
      <c r="F483" s="93">
        <f>218110938-109055469</f>
        <v>109055469</v>
      </c>
      <c r="G483" s="93"/>
      <c r="H483" s="94" t="s">
        <v>557</v>
      </c>
      <c r="I483" s="76" t="s">
        <v>558</v>
      </c>
      <c r="J483" s="124">
        <v>1</v>
      </c>
      <c r="K483" s="124">
        <v>2</v>
      </c>
      <c r="L483" s="124">
        <v>10</v>
      </c>
      <c r="M483" s="91">
        <v>1</v>
      </c>
      <c r="N483" s="98" t="s">
        <v>64</v>
      </c>
      <c r="O483" s="99" t="s">
        <v>65</v>
      </c>
      <c r="P483" s="100">
        <v>1</v>
      </c>
      <c r="Q483" s="101">
        <f t="shared" si="120"/>
        <v>109055469</v>
      </c>
      <c r="R483" s="101">
        <f t="shared" si="121"/>
        <v>109055469</v>
      </c>
      <c r="S483" s="102" t="s">
        <v>56</v>
      </c>
      <c r="T483" s="98">
        <v>0</v>
      </c>
      <c r="U483" s="27" t="str">
        <f t="shared" si="122"/>
        <v>SUBDIRECCION DE GESTION CONTRACTUAL</v>
      </c>
      <c r="V483" s="91" t="str">
        <f t="shared" si="123"/>
        <v>CO-DC</v>
      </c>
      <c r="W483" s="27" t="str">
        <f t="shared" si="124"/>
        <v>Distrito Capital de Bogotá</v>
      </c>
      <c r="X483" s="103" t="s">
        <v>563</v>
      </c>
      <c r="Y483" s="91">
        <v>2427400</v>
      </c>
      <c r="Z483" s="105" t="s">
        <v>529</v>
      </c>
    </row>
    <row r="484" spans="1:26" s="61" customFormat="1" ht="13.9" hidden="1" customHeight="1" x14ac:dyDescent="0.2">
      <c r="A484" s="90" t="s">
        <v>524</v>
      </c>
      <c r="B484" s="91">
        <v>59</v>
      </c>
      <c r="C484" s="92" t="s">
        <v>556</v>
      </c>
      <c r="D484" s="92" t="s">
        <v>551</v>
      </c>
      <c r="E484" s="93"/>
      <c r="F484" s="93">
        <f>327166404-163583202</f>
        <v>163583202</v>
      </c>
      <c r="G484" s="93"/>
      <c r="H484" s="94" t="s">
        <v>557</v>
      </c>
      <c r="I484" s="76" t="s">
        <v>558</v>
      </c>
      <c r="J484" s="124">
        <v>1</v>
      </c>
      <c r="K484" s="124">
        <v>2</v>
      </c>
      <c r="L484" s="124">
        <v>10</v>
      </c>
      <c r="M484" s="91">
        <v>1</v>
      </c>
      <c r="N484" s="98" t="s">
        <v>64</v>
      </c>
      <c r="O484" s="99" t="s">
        <v>65</v>
      </c>
      <c r="P484" s="100">
        <v>1</v>
      </c>
      <c r="Q484" s="101">
        <f t="shared" si="120"/>
        <v>163583202</v>
      </c>
      <c r="R484" s="101">
        <f t="shared" si="121"/>
        <v>163583202</v>
      </c>
      <c r="S484" s="102" t="s">
        <v>56</v>
      </c>
      <c r="T484" s="98">
        <v>0</v>
      </c>
      <c r="U484" s="27" t="str">
        <f t="shared" si="122"/>
        <v>SUBDIRECCION DE GESTION CONTRACTUAL</v>
      </c>
      <c r="V484" s="91" t="str">
        <f t="shared" si="123"/>
        <v>CO-DC</v>
      </c>
      <c r="W484" s="27" t="str">
        <f t="shared" si="124"/>
        <v>Distrito Capital de Bogotá</v>
      </c>
      <c r="X484" s="103" t="s">
        <v>563</v>
      </c>
      <c r="Y484" s="91">
        <v>2427400</v>
      </c>
      <c r="Z484" s="105" t="s">
        <v>529</v>
      </c>
    </row>
    <row r="485" spans="1:26" s="61" customFormat="1" ht="13.9" hidden="1" customHeight="1" x14ac:dyDescent="0.2">
      <c r="A485" s="90" t="s">
        <v>524</v>
      </c>
      <c r="B485" s="91">
        <v>60</v>
      </c>
      <c r="C485" s="92" t="s">
        <v>556</v>
      </c>
      <c r="D485" s="92" t="s">
        <v>554</v>
      </c>
      <c r="E485" s="93"/>
      <c r="F485" s="93">
        <f>218110938-109055469</f>
        <v>109055469</v>
      </c>
      <c r="G485" s="93"/>
      <c r="H485" s="94" t="s">
        <v>557</v>
      </c>
      <c r="I485" s="76" t="s">
        <v>558</v>
      </c>
      <c r="J485" s="124">
        <v>1</v>
      </c>
      <c r="K485" s="124">
        <v>2</v>
      </c>
      <c r="L485" s="124">
        <v>10</v>
      </c>
      <c r="M485" s="91">
        <v>1</v>
      </c>
      <c r="N485" s="98" t="s">
        <v>64</v>
      </c>
      <c r="O485" s="99" t="s">
        <v>65</v>
      </c>
      <c r="P485" s="100">
        <v>1</v>
      </c>
      <c r="Q485" s="101">
        <f t="shared" si="120"/>
        <v>109055469</v>
      </c>
      <c r="R485" s="101">
        <f t="shared" si="121"/>
        <v>109055469</v>
      </c>
      <c r="S485" s="102" t="s">
        <v>56</v>
      </c>
      <c r="T485" s="98">
        <v>0</v>
      </c>
      <c r="U485" s="27" t="str">
        <f t="shared" si="122"/>
        <v>SUBDIRECCION DE GESTION CONTRACTUAL</v>
      </c>
      <c r="V485" s="91" t="str">
        <f t="shared" si="123"/>
        <v>CO-DC</v>
      </c>
      <c r="W485" s="27" t="str">
        <f t="shared" si="124"/>
        <v>Distrito Capital de Bogotá</v>
      </c>
      <c r="X485" s="103" t="s">
        <v>563</v>
      </c>
      <c r="Y485" s="91">
        <v>2427400</v>
      </c>
      <c r="Z485" s="105" t="s">
        <v>529</v>
      </c>
    </row>
    <row r="486" spans="1:26" s="5" customFormat="1" ht="12.75" hidden="1" customHeight="1" x14ac:dyDescent="0.2">
      <c r="A486" s="90" t="s">
        <v>524</v>
      </c>
      <c r="B486" s="91">
        <v>61</v>
      </c>
      <c r="C486" s="92" t="s">
        <v>556</v>
      </c>
      <c r="D486" s="92" t="s">
        <v>545</v>
      </c>
      <c r="E486" s="93"/>
      <c r="F486" s="93">
        <v>140561412</v>
      </c>
      <c r="G486" s="93"/>
      <c r="H486" s="94" t="s">
        <v>564</v>
      </c>
      <c r="I486" s="167" t="s">
        <v>558</v>
      </c>
      <c r="J486" s="144">
        <v>10</v>
      </c>
      <c r="K486" s="144">
        <v>10</v>
      </c>
      <c r="L486" s="144">
        <v>2</v>
      </c>
      <c r="M486" s="144">
        <v>1</v>
      </c>
      <c r="N486" s="98" t="s">
        <v>64</v>
      </c>
      <c r="O486" s="99" t="s">
        <v>65</v>
      </c>
      <c r="P486" s="100">
        <v>10</v>
      </c>
      <c r="Q486" s="101">
        <f t="shared" ref="Q486:Q511" si="125">+E486+F486+G486</f>
        <v>140561412</v>
      </c>
      <c r="R486" s="101">
        <f t="shared" ref="R486:R511" si="126">+F486</f>
        <v>140561412</v>
      </c>
      <c r="S486" s="102" t="s">
        <v>56</v>
      </c>
      <c r="T486" s="98">
        <v>0</v>
      </c>
      <c r="U486" s="27" t="str">
        <f t="shared" si="122"/>
        <v>SUBDIRECCION DE GESTION CONTRACTUAL</v>
      </c>
      <c r="V486" s="91" t="str">
        <f t="shared" si="123"/>
        <v>CO-DC</v>
      </c>
      <c r="W486" s="27" t="str">
        <f t="shared" si="124"/>
        <v>Distrito Capital de Bogotá</v>
      </c>
      <c r="X486" s="170" t="s">
        <v>565</v>
      </c>
      <c r="Y486" s="170">
        <v>3016290046</v>
      </c>
      <c r="Z486" s="87" t="s">
        <v>566</v>
      </c>
    </row>
    <row r="487" spans="1:26" s="5" customFormat="1" ht="12.75" hidden="1" customHeight="1" x14ac:dyDescent="0.2">
      <c r="A487" s="90" t="s">
        <v>524</v>
      </c>
      <c r="B487" s="91">
        <v>62</v>
      </c>
      <c r="C487" s="92" t="s">
        <v>556</v>
      </c>
      <c r="D487" s="92" t="s">
        <v>548</v>
      </c>
      <c r="E487" s="93"/>
      <c r="F487" s="93">
        <v>109055469</v>
      </c>
      <c r="G487" s="93"/>
      <c r="H487" s="94" t="s">
        <v>564</v>
      </c>
      <c r="I487" s="167" t="s">
        <v>558</v>
      </c>
      <c r="J487" s="144">
        <v>10</v>
      </c>
      <c r="K487" s="144">
        <v>10</v>
      </c>
      <c r="L487" s="144">
        <v>2</v>
      </c>
      <c r="M487" s="144">
        <v>1</v>
      </c>
      <c r="N487" s="98" t="s">
        <v>64</v>
      </c>
      <c r="O487" s="99" t="s">
        <v>65</v>
      </c>
      <c r="P487" s="100">
        <v>10</v>
      </c>
      <c r="Q487" s="101">
        <f t="shared" si="125"/>
        <v>109055469</v>
      </c>
      <c r="R487" s="101">
        <f t="shared" si="126"/>
        <v>109055469</v>
      </c>
      <c r="S487" s="102" t="s">
        <v>56</v>
      </c>
      <c r="T487" s="98">
        <v>0</v>
      </c>
      <c r="U487" s="27" t="str">
        <f t="shared" si="122"/>
        <v>SUBDIRECCION DE GESTION CONTRACTUAL</v>
      </c>
      <c r="V487" s="91" t="str">
        <f t="shared" si="123"/>
        <v>CO-DC</v>
      </c>
      <c r="W487" s="27" t="str">
        <f t="shared" si="124"/>
        <v>Distrito Capital de Bogotá</v>
      </c>
      <c r="X487" s="170" t="s">
        <v>565</v>
      </c>
      <c r="Y487" s="170">
        <v>3016290046</v>
      </c>
      <c r="Z487" s="87" t="s">
        <v>566</v>
      </c>
    </row>
    <row r="488" spans="1:26" s="61" customFormat="1" ht="13.9" hidden="1" customHeight="1" x14ac:dyDescent="0.2">
      <c r="A488" s="90" t="s">
        <v>524</v>
      </c>
      <c r="B488" s="91">
        <v>63</v>
      </c>
      <c r="C488" s="92" t="s">
        <v>556</v>
      </c>
      <c r="D488" s="92" t="s">
        <v>551</v>
      </c>
      <c r="E488" s="93"/>
      <c r="F488" s="93">
        <v>163583202</v>
      </c>
      <c r="G488" s="93"/>
      <c r="H488" s="94" t="s">
        <v>564</v>
      </c>
      <c r="I488" s="167" t="s">
        <v>558</v>
      </c>
      <c r="J488" s="144">
        <v>10</v>
      </c>
      <c r="K488" s="144">
        <v>10</v>
      </c>
      <c r="L488" s="144">
        <v>2</v>
      </c>
      <c r="M488" s="144">
        <v>1</v>
      </c>
      <c r="N488" s="98" t="s">
        <v>64</v>
      </c>
      <c r="O488" s="99" t="s">
        <v>65</v>
      </c>
      <c r="P488" s="100">
        <v>10</v>
      </c>
      <c r="Q488" s="101">
        <f t="shared" si="125"/>
        <v>163583202</v>
      </c>
      <c r="R488" s="101">
        <f t="shared" si="126"/>
        <v>163583202</v>
      </c>
      <c r="S488" s="102" t="s">
        <v>56</v>
      </c>
      <c r="T488" s="98">
        <v>0</v>
      </c>
      <c r="U488" s="27" t="str">
        <f t="shared" si="122"/>
        <v>SUBDIRECCION DE GESTION CONTRACTUAL</v>
      </c>
      <c r="V488" s="91" t="str">
        <f t="shared" si="123"/>
        <v>CO-DC</v>
      </c>
      <c r="W488" s="27" t="str">
        <f t="shared" si="124"/>
        <v>Distrito Capital de Bogotá</v>
      </c>
      <c r="X488" s="170" t="s">
        <v>565</v>
      </c>
      <c r="Y488" s="170">
        <v>3016290046</v>
      </c>
      <c r="Z488" s="87" t="s">
        <v>566</v>
      </c>
    </row>
    <row r="489" spans="1:26" s="61" customFormat="1" ht="13.9" hidden="1" customHeight="1" x14ac:dyDescent="0.2">
      <c r="A489" s="90" t="s">
        <v>524</v>
      </c>
      <c r="B489" s="91">
        <v>64</v>
      </c>
      <c r="C489" s="92" t="s">
        <v>556</v>
      </c>
      <c r="D489" s="92" t="s">
        <v>554</v>
      </c>
      <c r="E489" s="93"/>
      <c r="F489" s="93">
        <v>109055469</v>
      </c>
      <c r="G489" s="93"/>
      <c r="H489" s="94" t="s">
        <v>564</v>
      </c>
      <c r="I489" s="167" t="s">
        <v>558</v>
      </c>
      <c r="J489" s="144">
        <v>10</v>
      </c>
      <c r="K489" s="144">
        <v>10</v>
      </c>
      <c r="L489" s="144">
        <v>2</v>
      </c>
      <c r="M489" s="144">
        <v>1</v>
      </c>
      <c r="N489" s="98" t="s">
        <v>64</v>
      </c>
      <c r="O489" s="99" t="s">
        <v>65</v>
      </c>
      <c r="P489" s="100">
        <v>10</v>
      </c>
      <c r="Q489" s="101">
        <f t="shared" si="125"/>
        <v>109055469</v>
      </c>
      <c r="R489" s="101">
        <f t="shared" si="126"/>
        <v>109055469</v>
      </c>
      <c r="S489" s="102" t="s">
        <v>56</v>
      </c>
      <c r="T489" s="98">
        <v>0</v>
      </c>
      <c r="U489" s="27" t="str">
        <f t="shared" si="122"/>
        <v>SUBDIRECCION DE GESTION CONTRACTUAL</v>
      </c>
      <c r="V489" s="91" t="str">
        <f t="shared" si="123"/>
        <v>CO-DC</v>
      </c>
      <c r="W489" s="27" t="str">
        <f t="shared" si="124"/>
        <v>Distrito Capital de Bogotá</v>
      </c>
      <c r="X489" s="170" t="s">
        <v>565</v>
      </c>
      <c r="Y489" s="170">
        <v>3016290046</v>
      </c>
      <c r="Z489" s="87" t="s">
        <v>566</v>
      </c>
    </row>
    <row r="490" spans="1:26" s="5" customFormat="1" ht="12.75" hidden="1" customHeight="1" x14ac:dyDescent="0.2">
      <c r="A490" s="90" t="s">
        <v>524</v>
      </c>
      <c r="B490" s="91">
        <v>65</v>
      </c>
      <c r="C490" s="92" t="s">
        <v>543</v>
      </c>
      <c r="D490" s="92" t="s">
        <v>544</v>
      </c>
      <c r="E490" s="93"/>
      <c r="F490" s="93">
        <v>16100970</v>
      </c>
      <c r="G490" s="93"/>
      <c r="H490" s="94" t="s">
        <v>564</v>
      </c>
      <c r="I490" s="167" t="s">
        <v>558</v>
      </c>
      <c r="J490" s="144">
        <v>10</v>
      </c>
      <c r="K490" s="144">
        <v>10</v>
      </c>
      <c r="L490" s="144">
        <v>2</v>
      </c>
      <c r="M490" s="144">
        <v>1</v>
      </c>
      <c r="N490" s="98" t="s">
        <v>64</v>
      </c>
      <c r="O490" s="99" t="s">
        <v>65</v>
      </c>
      <c r="P490" s="100">
        <v>10</v>
      </c>
      <c r="Q490" s="101">
        <f t="shared" si="125"/>
        <v>16100970</v>
      </c>
      <c r="R490" s="101">
        <f t="shared" si="126"/>
        <v>16100970</v>
      </c>
      <c r="S490" s="102" t="s">
        <v>56</v>
      </c>
      <c r="T490" s="98">
        <v>0</v>
      </c>
      <c r="U490" s="27" t="str">
        <f t="shared" si="122"/>
        <v>SUBDIRECCION DE GESTION CONTRACTUAL</v>
      </c>
      <c r="V490" s="91" t="str">
        <f t="shared" si="123"/>
        <v>CO-DC</v>
      </c>
      <c r="W490" s="27" t="str">
        <f t="shared" si="124"/>
        <v>Distrito Capital de Bogotá</v>
      </c>
      <c r="X490" s="170" t="s">
        <v>565</v>
      </c>
      <c r="Y490" s="170">
        <v>3016290046</v>
      </c>
      <c r="Z490" s="87" t="s">
        <v>566</v>
      </c>
    </row>
    <row r="491" spans="1:26" s="61" customFormat="1" ht="13.9" hidden="1" customHeight="1" x14ac:dyDescent="0.2">
      <c r="A491" s="90" t="s">
        <v>524</v>
      </c>
      <c r="B491" s="91">
        <v>66</v>
      </c>
      <c r="C491" s="92" t="s">
        <v>543</v>
      </c>
      <c r="D491" s="92" t="s">
        <v>545</v>
      </c>
      <c r="E491" s="93"/>
      <c r="F491" s="93">
        <v>59173280</v>
      </c>
      <c r="G491" s="93"/>
      <c r="H491" s="94" t="s">
        <v>564</v>
      </c>
      <c r="I491" s="167" t="s">
        <v>558</v>
      </c>
      <c r="J491" s="144">
        <v>10</v>
      </c>
      <c r="K491" s="144">
        <v>10</v>
      </c>
      <c r="L491" s="144">
        <v>2</v>
      </c>
      <c r="M491" s="144">
        <v>1</v>
      </c>
      <c r="N491" s="98" t="s">
        <v>64</v>
      </c>
      <c r="O491" s="99" t="s">
        <v>65</v>
      </c>
      <c r="P491" s="100">
        <v>10</v>
      </c>
      <c r="Q491" s="101">
        <f t="shared" si="125"/>
        <v>59173280</v>
      </c>
      <c r="R491" s="101">
        <f t="shared" si="126"/>
        <v>59173280</v>
      </c>
      <c r="S491" s="102" t="s">
        <v>56</v>
      </c>
      <c r="T491" s="98">
        <v>0</v>
      </c>
      <c r="U491" s="27" t="str">
        <f t="shared" si="122"/>
        <v>SUBDIRECCION DE GESTION CONTRACTUAL</v>
      </c>
      <c r="V491" s="91" t="str">
        <f t="shared" si="123"/>
        <v>CO-DC</v>
      </c>
      <c r="W491" s="27" t="str">
        <f t="shared" si="124"/>
        <v>Distrito Capital de Bogotá</v>
      </c>
      <c r="X491" s="170" t="s">
        <v>565</v>
      </c>
      <c r="Y491" s="170">
        <v>3016290046</v>
      </c>
      <c r="Z491" s="87" t="s">
        <v>566</v>
      </c>
    </row>
    <row r="492" spans="1:26" s="61" customFormat="1" ht="13.9" hidden="1" customHeight="1" x14ac:dyDescent="0.2">
      <c r="A492" s="90" t="s">
        <v>524</v>
      </c>
      <c r="B492" s="91">
        <v>67</v>
      </c>
      <c r="C492" s="92" t="s">
        <v>543</v>
      </c>
      <c r="D492" s="92" t="s">
        <v>546</v>
      </c>
      <c r="E492" s="93"/>
      <c r="F492" s="93">
        <v>90632823</v>
      </c>
      <c r="G492" s="93"/>
      <c r="H492" s="94" t="s">
        <v>564</v>
      </c>
      <c r="I492" s="167" t="s">
        <v>558</v>
      </c>
      <c r="J492" s="144">
        <v>10</v>
      </c>
      <c r="K492" s="144">
        <v>10</v>
      </c>
      <c r="L492" s="144">
        <v>2</v>
      </c>
      <c r="M492" s="144">
        <v>1</v>
      </c>
      <c r="N492" s="98" t="s">
        <v>64</v>
      </c>
      <c r="O492" s="99" t="s">
        <v>65</v>
      </c>
      <c r="P492" s="100">
        <v>10</v>
      </c>
      <c r="Q492" s="101">
        <f t="shared" si="125"/>
        <v>90632823</v>
      </c>
      <c r="R492" s="101">
        <f t="shared" si="126"/>
        <v>90632823</v>
      </c>
      <c r="S492" s="102" t="s">
        <v>56</v>
      </c>
      <c r="T492" s="98">
        <v>0</v>
      </c>
      <c r="U492" s="27" t="str">
        <f t="shared" si="122"/>
        <v>SUBDIRECCION DE GESTION CONTRACTUAL</v>
      </c>
      <c r="V492" s="91" t="str">
        <f t="shared" si="123"/>
        <v>CO-DC</v>
      </c>
      <c r="W492" s="27" t="str">
        <f t="shared" si="124"/>
        <v>Distrito Capital de Bogotá</v>
      </c>
      <c r="X492" s="170" t="s">
        <v>565</v>
      </c>
      <c r="Y492" s="170">
        <v>3016290046</v>
      </c>
      <c r="Z492" s="87" t="s">
        <v>566</v>
      </c>
    </row>
    <row r="493" spans="1:26" s="61" customFormat="1" ht="13.9" hidden="1" customHeight="1" x14ac:dyDescent="0.2">
      <c r="A493" s="90" t="s">
        <v>524</v>
      </c>
      <c r="B493" s="91">
        <v>68</v>
      </c>
      <c r="C493" s="92" t="s">
        <v>543</v>
      </c>
      <c r="D493" s="92" t="s">
        <v>547</v>
      </c>
      <c r="E493" s="93"/>
      <c r="F493" s="93">
        <v>23487536</v>
      </c>
      <c r="G493" s="93"/>
      <c r="H493" s="94" t="s">
        <v>564</v>
      </c>
      <c r="I493" s="167" t="s">
        <v>558</v>
      </c>
      <c r="J493" s="144">
        <v>10</v>
      </c>
      <c r="K493" s="144">
        <v>10</v>
      </c>
      <c r="L493" s="144">
        <v>2</v>
      </c>
      <c r="M493" s="144">
        <v>1</v>
      </c>
      <c r="N493" s="98" t="s">
        <v>64</v>
      </c>
      <c r="O493" s="99" t="s">
        <v>65</v>
      </c>
      <c r="P493" s="100">
        <v>10</v>
      </c>
      <c r="Q493" s="101">
        <f t="shared" si="125"/>
        <v>23487536</v>
      </c>
      <c r="R493" s="101">
        <f t="shared" si="126"/>
        <v>23487536</v>
      </c>
      <c r="S493" s="102" t="s">
        <v>56</v>
      </c>
      <c r="T493" s="98">
        <v>0</v>
      </c>
      <c r="U493" s="27" t="str">
        <f t="shared" si="122"/>
        <v>SUBDIRECCION DE GESTION CONTRACTUAL</v>
      </c>
      <c r="V493" s="91" t="str">
        <f t="shared" si="123"/>
        <v>CO-DC</v>
      </c>
      <c r="W493" s="27" t="str">
        <f t="shared" si="124"/>
        <v>Distrito Capital de Bogotá</v>
      </c>
      <c r="X493" s="170" t="s">
        <v>565</v>
      </c>
      <c r="Y493" s="170">
        <v>3016290046</v>
      </c>
      <c r="Z493" s="87" t="s">
        <v>566</v>
      </c>
    </row>
    <row r="494" spans="1:26" s="61" customFormat="1" ht="13.9" hidden="1" customHeight="1" x14ac:dyDescent="0.2">
      <c r="A494" s="90" t="s">
        <v>524</v>
      </c>
      <c r="B494" s="91">
        <v>69</v>
      </c>
      <c r="C494" s="92" t="s">
        <v>543</v>
      </c>
      <c r="D494" s="92" t="s">
        <v>548</v>
      </c>
      <c r="E494" s="93"/>
      <c r="F494" s="93">
        <v>78015269</v>
      </c>
      <c r="G494" s="93"/>
      <c r="H494" s="94" t="s">
        <v>564</v>
      </c>
      <c r="I494" s="167" t="s">
        <v>558</v>
      </c>
      <c r="J494" s="144">
        <v>10</v>
      </c>
      <c r="K494" s="144">
        <v>10</v>
      </c>
      <c r="L494" s="144">
        <v>2</v>
      </c>
      <c r="M494" s="144">
        <v>1</v>
      </c>
      <c r="N494" s="98" t="s">
        <v>64</v>
      </c>
      <c r="O494" s="99" t="s">
        <v>65</v>
      </c>
      <c r="P494" s="100">
        <v>10</v>
      </c>
      <c r="Q494" s="101">
        <f t="shared" si="125"/>
        <v>78015269</v>
      </c>
      <c r="R494" s="101">
        <f t="shared" si="126"/>
        <v>78015269</v>
      </c>
      <c r="S494" s="102" t="s">
        <v>56</v>
      </c>
      <c r="T494" s="98">
        <v>0</v>
      </c>
      <c r="U494" s="27" t="str">
        <f t="shared" si="122"/>
        <v>SUBDIRECCION DE GESTION CONTRACTUAL</v>
      </c>
      <c r="V494" s="91" t="str">
        <f t="shared" si="123"/>
        <v>CO-DC</v>
      </c>
      <c r="W494" s="27" t="str">
        <f t="shared" si="124"/>
        <v>Distrito Capital de Bogotá</v>
      </c>
      <c r="X494" s="170" t="s">
        <v>565</v>
      </c>
      <c r="Y494" s="170">
        <v>3016290046</v>
      </c>
      <c r="Z494" s="87" t="s">
        <v>566</v>
      </c>
    </row>
    <row r="495" spans="1:26" s="61" customFormat="1" ht="13.9" hidden="1" customHeight="1" x14ac:dyDescent="0.2">
      <c r="A495" s="90" t="s">
        <v>524</v>
      </c>
      <c r="B495" s="91">
        <v>70</v>
      </c>
      <c r="C495" s="92" t="s">
        <v>543</v>
      </c>
      <c r="D495" s="92" t="s">
        <v>549</v>
      </c>
      <c r="E495" s="93"/>
      <c r="F495" s="93">
        <v>95128858</v>
      </c>
      <c r="G495" s="93"/>
      <c r="H495" s="94" t="s">
        <v>564</v>
      </c>
      <c r="I495" s="167" t="s">
        <v>558</v>
      </c>
      <c r="J495" s="144">
        <v>10</v>
      </c>
      <c r="K495" s="144">
        <v>10</v>
      </c>
      <c r="L495" s="144">
        <v>2</v>
      </c>
      <c r="M495" s="144">
        <v>1</v>
      </c>
      <c r="N495" s="98" t="s">
        <v>64</v>
      </c>
      <c r="O495" s="99" t="s">
        <v>65</v>
      </c>
      <c r="P495" s="100">
        <v>10</v>
      </c>
      <c r="Q495" s="101">
        <f t="shared" si="125"/>
        <v>95128858</v>
      </c>
      <c r="R495" s="101">
        <f t="shared" si="126"/>
        <v>95128858</v>
      </c>
      <c r="S495" s="102" t="s">
        <v>56</v>
      </c>
      <c r="T495" s="98">
        <v>0</v>
      </c>
      <c r="U495" s="27" t="str">
        <f t="shared" si="122"/>
        <v>SUBDIRECCION DE GESTION CONTRACTUAL</v>
      </c>
      <c r="V495" s="91" t="str">
        <f t="shared" si="123"/>
        <v>CO-DC</v>
      </c>
      <c r="W495" s="27" t="str">
        <f t="shared" si="124"/>
        <v>Distrito Capital de Bogotá</v>
      </c>
      <c r="X495" s="170" t="s">
        <v>565</v>
      </c>
      <c r="Y495" s="170">
        <v>3016290046</v>
      </c>
      <c r="Z495" s="87" t="s">
        <v>566</v>
      </c>
    </row>
    <row r="496" spans="1:26" s="5" customFormat="1" ht="12.75" hidden="1" customHeight="1" x14ac:dyDescent="0.2">
      <c r="A496" s="90" t="s">
        <v>524</v>
      </c>
      <c r="B496" s="91">
        <v>71</v>
      </c>
      <c r="C496" s="92" t="s">
        <v>543</v>
      </c>
      <c r="D496" s="92" t="s">
        <v>550</v>
      </c>
      <c r="E496" s="93"/>
      <c r="F496" s="93">
        <v>35231305</v>
      </c>
      <c r="G496" s="93"/>
      <c r="H496" s="94" t="s">
        <v>564</v>
      </c>
      <c r="I496" s="167" t="s">
        <v>558</v>
      </c>
      <c r="J496" s="144">
        <v>10</v>
      </c>
      <c r="K496" s="144">
        <v>10</v>
      </c>
      <c r="L496" s="144">
        <v>2</v>
      </c>
      <c r="M496" s="144">
        <v>1</v>
      </c>
      <c r="N496" s="98" t="s">
        <v>64</v>
      </c>
      <c r="O496" s="99" t="s">
        <v>65</v>
      </c>
      <c r="P496" s="100">
        <v>10</v>
      </c>
      <c r="Q496" s="101">
        <f t="shared" si="125"/>
        <v>35231305</v>
      </c>
      <c r="R496" s="101">
        <f t="shared" si="126"/>
        <v>35231305</v>
      </c>
      <c r="S496" s="102" t="s">
        <v>56</v>
      </c>
      <c r="T496" s="98">
        <v>0</v>
      </c>
      <c r="U496" s="27" t="str">
        <f t="shared" si="122"/>
        <v>SUBDIRECCION DE GESTION CONTRACTUAL</v>
      </c>
      <c r="V496" s="91" t="str">
        <f t="shared" si="123"/>
        <v>CO-DC</v>
      </c>
      <c r="W496" s="27" t="str">
        <f t="shared" si="124"/>
        <v>Distrito Capital de Bogotá</v>
      </c>
      <c r="X496" s="170" t="s">
        <v>565</v>
      </c>
      <c r="Y496" s="170">
        <v>3016290046</v>
      </c>
      <c r="Z496" s="87" t="s">
        <v>566</v>
      </c>
    </row>
    <row r="497" spans="1:26" s="5" customFormat="1" ht="12.75" hidden="1" customHeight="1" x14ac:dyDescent="0.2">
      <c r="A497" s="90" t="s">
        <v>524</v>
      </c>
      <c r="B497" s="91">
        <v>72</v>
      </c>
      <c r="C497" s="92" t="s">
        <v>543</v>
      </c>
      <c r="D497" s="92" t="s">
        <v>551</v>
      </c>
      <c r="E497" s="93"/>
      <c r="F497" s="93">
        <v>117022905</v>
      </c>
      <c r="G497" s="93"/>
      <c r="H497" s="94" t="s">
        <v>564</v>
      </c>
      <c r="I497" s="167" t="s">
        <v>558</v>
      </c>
      <c r="J497" s="144">
        <v>10</v>
      </c>
      <c r="K497" s="144">
        <v>10</v>
      </c>
      <c r="L497" s="144">
        <v>2</v>
      </c>
      <c r="M497" s="144">
        <v>1</v>
      </c>
      <c r="N497" s="98" t="s">
        <v>64</v>
      </c>
      <c r="O497" s="99" t="s">
        <v>65</v>
      </c>
      <c r="P497" s="100">
        <v>10</v>
      </c>
      <c r="Q497" s="101">
        <f t="shared" si="125"/>
        <v>117022905</v>
      </c>
      <c r="R497" s="101">
        <f t="shared" si="126"/>
        <v>117022905</v>
      </c>
      <c r="S497" s="102" t="s">
        <v>56</v>
      </c>
      <c r="T497" s="98">
        <v>0</v>
      </c>
      <c r="U497" s="27" t="str">
        <f t="shared" si="122"/>
        <v>SUBDIRECCION DE GESTION CONTRACTUAL</v>
      </c>
      <c r="V497" s="91" t="str">
        <f t="shared" si="123"/>
        <v>CO-DC</v>
      </c>
      <c r="W497" s="27" t="str">
        <f t="shared" si="124"/>
        <v>Distrito Capital de Bogotá</v>
      </c>
      <c r="X497" s="170" t="s">
        <v>565</v>
      </c>
      <c r="Y497" s="170">
        <v>3016290046</v>
      </c>
      <c r="Z497" s="87" t="s">
        <v>566</v>
      </c>
    </row>
    <row r="498" spans="1:26" s="61" customFormat="1" ht="13.9" hidden="1" customHeight="1" x14ac:dyDescent="0.2">
      <c r="A498" s="90" t="s">
        <v>524</v>
      </c>
      <c r="B498" s="91">
        <v>73</v>
      </c>
      <c r="C498" s="92" t="s">
        <v>543</v>
      </c>
      <c r="D498" s="92" t="s">
        <v>552</v>
      </c>
      <c r="E498" s="93"/>
      <c r="F498" s="93">
        <v>142693282</v>
      </c>
      <c r="G498" s="93"/>
      <c r="H498" s="94" t="s">
        <v>564</v>
      </c>
      <c r="I498" s="167" t="s">
        <v>558</v>
      </c>
      <c r="J498" s="144">
        <v>10</v>
      </c>
      <c r="K498" s="144">
        <v>10</v>
      </c>
      <c r="L498" s="144">
        <v>2</v>
      </c>
      <c r="M498" s="144">
        <v>1</v>
      </c>
      <c r="N498" s="98" t="s">
        <v>64</v>
      </c>
      <c r="O498" s="99" t="s">
        <v>65</v>
      </c>
      <c r="P498" s="100">
        <v>10</v>
      </c>
      <c r="Q498" s="101">
        <f t="shared" si="125"/>
        <v>142693282</v>
      </c>
      <c r="R498" s="101">
        <f t="shared" si="126"/>
        <v>142693282</v>
      </c>
      <c r="S498" s="102" t="s">
        <v>56</v>
      </c>
      <c r="T498" s="98">
        <v>0</v>
      </c>
      <c r="U498" s="27" t="str">
        <f t="shared" si="122"/>
        <v>SUBDIRECCION DE GESTION CONTRACTUAL</v>
      </c>
      <c r="V498" s="91" t="str">
        <f t="shared" si="123"/>
        <v>CO-DC</v>
      </c>
      <c r="W498" s="27" t="str">
        <f t="shared" si="124"/>
        <v>Distrito Capital de Bogotá</v>
      </c>
      <c r="X498" s="170" t="s">
        <v>565</v>
      </c>
      <c r="Y498" s="170">
        <v>3016290046</v>
      </c>
      <c r="Z498" s="87" t="s">
        <v>566</v>
      </c>
    </row>
    <row r="499" spans="1:26" s="5" customFormat="1" ht="12.75" hidden="1" customHeight="1" x14ac:dyDescent="0.2">
      <c r="A499" s="90" t="s">
        <v>524</v>
      </c>
      <c r="B499" s="91">
        <v>74</v>
      </c>
      <c r="C499" s="92" t="s">
        <v>543</v>
      </c>
      <c r="D499" s="92" t="s">
        <v>553</v>
      </c>
      <c r="E499" s="93"/>
      <c r="F499" s="93">
        <v>23487536</v>
      </c>
      <c r="G499" s="93"/>
      <c r="H499" s="94" t="s">
        <v>564</v>
      </c>
      <c r="I499" s="167" t="s">
        <v>558</v>
      </c>
      <c r="J499" s="144">
        <v>10</v>
      </c>
      <c r="K499" s="144">
        <v>10</v>
      </c>
      <c r="L499" s="144">
        <v>2</v>
      </c>
      <c r="M499" s="144">
        <v>1</v>
      </c>
      <c r="N499" s="98" t="s">
        <v>64</v>
      </c>
      <c r="O499" s="99" t="s">
        <v>65</v>
      </c>
      <c r="P499" s="100">
        <v>10</v>
      </c>
      <c r="Q499" s="101">
        <f t="shared" si="125"/>
        <v>23487536</v>
      </c>
      <c r="R499" s="101">
        <f t="shared" si="126"/>
        <v>23487536</v>
      </c>
      <c r="S499" s="102" t="s">
        <v>56</v>
      </c>
      <c r="T499" s="98">
        <v>0</v>
      </c>
      <c r="U499" s="27" t="str">
        <f t="shared" si="122"/>
        <v>SUBDIRECCION DE GESTION CONTRACTUAL</v>
      </c>
      <c r="V499" s="91" t="str">
        <f t="shared" si="123"/>
        <v>CO-DC</v>
      </c>
      <c r="W499" s="27" t="str">
        <f t="shared" si="124"/>
        <v>Distrito Capital de Bogotá</v>
      </c>
      <c r="X499" s="170" t="s">
        <v>565</v>
      </c>
      <c r="Y499" s="170">
        <v>3016290046</v>
      </c>
      <c r="Z499" s="87" t="s">
        <v>566</v>
      </c>
    </row>
    <row r="500" spans="1:26" s="61" customFormat="1" ht="13.9" hidden="1" customHeight="1" x14ac:dyDescent="0.2">
      <c r="A500" s="90" t="s">
        <v>524</v>
      </c>
      <c r="B500" s="91">
        <v>75</v>
      </c>
      <c r="C500" s="92" t="s">
        <v>543</v>
      </c>
      <c r="D500" s="92" t="s">
        <v>554</v>
      </c>
      <c r="E500" s="93"/>
      <c r="F500" s="93">
        <v>78015268</v>
      </c>
      <c r="G500" s="93"/>
      <c r="H500" s="94" t="s">
        <v>564</v>
      </c>
      <c r="I500" s="167" t="s">
        <v>558</v>
      </c>
      <c r="J500" s="144">
        <v>10</v>
      </c>
      <c r="K500" s="144">
        <v>10</v>
      </c>
      <c r="L500" s="144">
        <v>2</v>
      </c>
      <c r="M500" s="144">
        <v>1</v>
      </c>
      <c r="N500" s="98" t="s">
        <v>64</v>
      </c>
      <c r="O500" s="99" t="s">
        <v>65</v>
      </c>
      <c r="P500" s="100">
        <v>10</v>
      </c>
      <c r="Q500" s="101">
        <f t="shared" si="125"/>
        <v>78015268</v>
      </c>
      <c r="R500" s="101">
        <f t="shared" si="126"/>
        <v>78015268</v>
      </c>
      <c r="S500" s="102" t="s">
        <v>56</v>
      </c>
      <c r="T500" s="98">
        <v>0</v>
      </c>
      <c r="U500" s="27" t="str">
        <f t="shared" si="122"/>
        <v>SUBDIRECCION DE GESTION CONTRACTUAL</v>
      </c>
      <c r="V500" s="91" t="str">
        <f t="shared" si="123"/>
        <v>CO-DC</v>
      </c>
      <c r="W500" s="27" t="str">
        <f t="shared" si="124"/>
        <v>Distrito Capital de Bogotá</v>
      </c>
      <c r="X500" s="170" t="s">
        <v>565</v>
      </c>
      <c r="Y500" s="170">
        <v>3016290046</v>
      </c>
      <c r="Z500" s="87" t="s">
        <v>566</v>
      </c>
    </row>
    <row r="501" spans="1:26" s="61" customFormat="1" ht="13.9" hidden="1" customHeight="1" x14ac:dyDescent="0.2">
      <c r="A501" s="90" t="s">
        <v>524</v>
      </c>
      <c r="B501" s="91">
        <v>76</v>
      </c>
      <c r="C501" s="92" t="s">
        <v>543</v>
      </c>
      <c r="D501" s="92" t="s">
        <v>555</v>
      </c>
      <c r="E501" s="93"/>
      <c r="F501" s="93">
        <v>95128858</v>
      </c>
      <c r="G501" s="93"/>
      <c r="H501" s="94" t="s">
        <v>564</v>
      </c>
      <c r="I501" s="167" t="s">
        <v>558</v>
      </c>
      <c r="J501" s="144">
        <v>10</v>
      </c>
      <c r="K501" s="144">
        <v>10</v>
      </c>
      <c r="L501" s="144">
        <v>2</v>
      </c>
      <c r="M501" s="144">
        <v>1</v>
      </c>
      <c r="N501" s="98" t="s">
        <v>64</v>
      </c>
      <c r="O501" s="99" t="s">
        <v>65</v>
      </c>
      <c r="P501" s="100">
        <v>10</v>
      </c>
      <c r="Q501" s="101">
        <f t="shared" si="125"/>
        <v>95128858</v>
      </c>
      <c r="R501" s="101">
        <f t="shared" si="126"/>
        <v>95128858</v>
      </c>
      <c r="S501" s="102" t="s">
        <v>56</v>
      </c>
      <c r="T501" s="98">
        <v>0</v>
      </c>
      <c r="U501" s="27" t="str">
        <f t="shared" si="122"/>
        <v>SUBDIRECCION DE GESTION CONTRACTUAL</v>
      </c>
      <c r="V501" s="91" t="str">
        <f t="shared" si="123"/>
        <v>CO-DC</v>
      </c>
      <c r="W501" s="27" t="str">
        <f t="shared" si="124"/>
        <v>Distrito Capital de Bogotá</v>
      </c>
      <c r="X501" s="170" t="s">
        <v>565</v>
      </c>
      <c r="Y501" s="170">
        <v>3016290046</v>
      </c>
      <c r="Z501" s="87" t="s">
        <v>566</v>
      </c>
    </row>
    <row r="502" spans="1:26" s="61" customFormat="1" ht="13.9" hidden="1" customHeight="1" x14ac:dyDescent="0.2">
      <c r="A502" s="90" t="s">
        <v>524</v>
      </c>
      <c r="B502" s="91">
        <v>77</v>
      </c>
      <c r="C502" s="92" t="s">
        <v>525</v>
      </c>
      <c r="D502" s="92" t="s">
        <v>526</v>
      </c>
      <c r="E502" s="93"/>
      <c r="F502" s="93">
        <v>166899670</v>
      </c>
      <c r="G502" s="93"/>
      <c r="H502" s="94" t="s">
        <v>564</v>
      </c>
      <c r="I502" s="167" t="s">
        <v>558</v>
      </c>
      <c r="J502" s="144">
        <v>10</v>
      </c>
      <c r="K502" s="144">
        <v>10</v>
      </c>
      <c r="L502" s="144">
        <v>2</v>
      </c>
      <c r="M502" s="144">
        <v>1</v>
      </c>
      <c r="N502" s="98" t="s">
        <v>64</v>
      </c>
      <c r="O502" s="99" t="s">
        <v>65</v>
      </c>
      <c r="P502" s="100">
        <v>10</v>
      </c>
      <c r="Q502" s="101">
        <f t="shared" si="125"/>
        <v>166899670</v>
      </c>
      <c r="R502" s="101">
        <f t="shared" si="126"/>
        <v>166899670</v>
      </c>
      <c r="S502" s="102" t="s">
        <v>56</v>
      </c>
      <c r="T502" s="98">
        <v>0</v>
      </c>
      <c r="U502" s="27" t="str">
        <f t="shared" si="122"/>
        <v>SUBDIRECCION DE GESTION CONTRACTUAL</v>
      </c>
      <c r="V502" s="91" t="str">
        <f t="shared" si="123"/>
        <v>CO-DC</v>
      </c>
      <c r="W502" s="27" t="str">
        <f t="shared" si="124"/>
        <v>Distrito Capital de Bogotá</v>
      </c>
      <c r="X502" s="170" t="s">
        <v>565</v>
      </c>
      <c r="Y502" s="170">
        <v>3016290046</v>
      </c>
      <c r="Z502" s="87" t="s">
        <v>566</v>
      </c>
    </row>
    <row r="503" spans="1:26" s="61" customFormat="1" ht="13.9" hidden="1" customHeight="1" x14ac:dyDescent="0.2">
      <c r="A503" s="90" t="s">
        <v>524</v>
      </c>
      <c r="B503" s="91">
        <v>78</v>
      </c>
      <c r="C503" s="92" t="s">
        <v>525</v>
      </c>
      <c r="D503" s="92" t="s">
        <v>530</v>
      </c>
      <c r="E503" s="93"/>
      <c r="F503" s="93">
        <v>40932121</v>
      </c>
      <c r="G503" s="93"/>
      <c r="H503" s="94" t="s">
        <v>564</v>
      </c>
      <c r="I503" s="167" t="s">
        <v>558</v>
      </c>
      <c r="J503" s="144">
        <v>10</v>
      </c>
      <c r="K503" s="144">
        <v>10</v>
      </c>
      <c r="L503" s="144">
        <v>2</v>
      </c>
      <c r="M503" s="144">
        <v>1</v>
      </c>
      <c r="N503" s="98" t="s">
        <v>64</v>
      </c>
      <c r="O503" s="99" t="s">
        <v>65</v>
      </c>
      <c r="P503" s="100">
        <v>10</v>
      </c>
      <c r="Q503" s="101">
        <f t="shared" si="125"/>
        <v>40932121</v>
      </c>
      <c r="R503" s="101">
        <f t="shared" si="126"/>
        <v>40932121</v>
      </c>
      <c r="S503" s="102" t="s">
        <v>56</v>
      </c>
      <c r="T503" s="98">
        <v>0</v>
      </c>
      <c r="U503" s="27" t="str">
        <f t="shared" si="122"/>
        <v>SUBDIRECCION DE GESTION CONTRACTUAL</v>
      </c>
      <c r="V503" s="91" t="str">
        <f t="shared" si="123"/>
        <v>CO-DC</v>
      </c>
      <c r="W503" s="27" t="str">
        <f t="shared" si="124"/>
        <v>Distrito Capital de Bogotá</v>
      </c>
      <c r="X503" s="170" t="s">
        <v>565</v>
      </c>
      <c r="Y503" s="170">
        <v>3016290046</v>
      </c>
      <c r="Z503" s="87" t="s">
        <v>566</v>
      </c>
    </row>
    <row r="504" spans="1:26" s="5" customFormat="1" ht="12.75" hidden="1" customHeight="1" x14ac:dyDescent="0.2">
      <c r="A504" s="90" t="s">
        <v>524</v>
      </c>
      <c r="B504" s="91">
        <v>79</v>
      </c>
      <c r="C504" s="92" t="s">
        <v>525</v>
      </c>
      <c r="D504" s="92" t="s">
        <v>531</v>
      </c>
      <c r="E504" s="93"/>
      <c r="F504" s="93">
        <v>234045809</v>
      </c>
      <c r="G504" s="93"/>
      <c r="H504" s="94" t="s">
        <v>564</v>
      </c>
      <c r="I504" s="167" t="s">
        <v>558</v>
      </c>
      <c r="J504" s="144">
        <v>10</v>
      </c>
      <c r="K504" s="144">
        <v>10</v>
      </c>
      <c r="L504" s="144">
        <v>2</v>
      </c>
      <c r="M504" s="144">
        <v>1</v>
      </c>
      <c r="N504" s="98" t="s">
        <v>64</v>
      </c>
      <c r="O504" s="99" t="s">
        <v>65</v>
      </c>
      <c r="P504" s="100">
        <v>10</v>
      </c>
      <c r="Q504" s="101">
        <f t="shared" si="125"/>
        <v>234045809</v>
      </c>
      <c r="R504" s="101">
        <f t="shared" si="126"/>
        <v>234045809</v>
      </c>
      <c r="S504" s="102" t="s">
        <v>56</v>
      </c>
      <c r="T504" s="98">
        <v>0</v>
      </c>
      <c r="U504" s="27" t="str">
        <f t="shared" si="122"/>
        <v>SUBDIRECCION DE GESTION CONTRACTUAL</v>
      </c>
      <c r="V504" s="91" t="str">
        <f t="shared" si="123"/>
        <v>CO-DC</v>
      </c>
      <c r="W504" s="27" t="str">
        <f t="shared" si="124"/>
        <v>Distrito Capital de Bogotá</v>
      </c>
      <c r="X504" s="170" t="s">
        <v>565</v>
      </c>
      <c r="Y504" s="170">
        <v>3016290046</v>
      </c>
      <c r="Z504" s="87" t="s">
        <v>566</v>
      </c>
    </row>
    <row r="505" spans="1:26" s="61" customFormat="1" ht="13.9" hidden="1" customHeight="1" x14ac:dyDescent="0.2">
      <c r="A505" s="90" t="s">
        <v>524</v>
      </c>
      <c r="B505" s="91">
        <v>80</v>
      </c>
      <c r="C505" s="92" t="s">
        <v>525</v>
      </c>
      <c r="D505" s="92" t="s">
        <v>532</v>
      </c>
      <c r="E505" s="93"/>
      <c r="F505" s="93">
        <v>156030540</v>
      </c>
      <c r="G505" s="93"/>
      <c r="H505" s="94" t="s">
        <v>564</v>
      </c>
      <c r="I505" s="167" t="s">
        <v>558</v>
      </c>
      <c r="J505" s="144">
        <v>10</v>
      </c>
      <c r="K505" s="144">
        <v>10</v>
      </c>
      <c r="L505" s="144">
        <v>2</v>
      </c>
      <c r="M505" s="144">
        <v>1</v>
      </c>
      <c r="N505" s="98" t="s">
        <v>64</v>
      </c>
      <c r="O505" s="99" t="s">
        <v>65</v>
      </c>
      <c r="P505" s="100">
        <v>10</v>
      </c>
      <c r="Q505" s="101">
        <f t="shared" si="125"/>
        <v>156030540</v>
      </c>
      <c r="R505" s="101">
        <f t="shared" si="126"/>
        <v>156030540</v>
      </c>
      <c r="S505" s="102" t="s">
        <v>56</v>
      </c>
      <c r="T505" s="98">
        <v>0</v>
      </c>
      <c r="U505" s="27" t="str">
        <f t="shared" si="122"/>
        <v>SUBDIRECCION DE GESTION CONTRACTUAL</v>
      </c>
      <c r="V505" s="91" t="str">
        <f t="shared" si="123"/>
        <v>CO-DC</v>
      </c>
      <c r="W505" s="27" t="str">
        <f t="shared" si="124"/>
        <v>Distrito Capital de Bogotá</v>
      </c>
      <c r="X505" s="170" t="s">
        <v>565</v>
      </c>
      <c r="Y505" s="170">
        <v>3016290046</v>
      </c>
      <c r="Z505" s="87" t="s">
        <v>566</v>
      </c>
    </row>
    <row r="506" spans="1:26" s="61" customFormat="1" ht="13.9" hidden="1" customHeight="1" x14ac:dyDescent="0.2">
      <c r="A506" s="90" t="s">
        <v>524</v>
      </c>
      <c r="B506" s="91">
        <v>81</v>
      </c>
      <c r="C506" s="92" t="s">
        <v>533</v>
      </c>
      <c r="D506" s="92" t="s">
        <v>534</v>
      </c>
      <c r="E506" s="93"/>
      <c r="F506" s="93">
        <v>247561459</v>
      </c>
      <c r="G506" s="93"/>
      <c r="H506" s="94" t="s">
        <v>564</v>
      </c>
      <c r="I506" s="167" t="s">
        <v>558</v>
      </c>
      <c r="J506" s="144">
        <v>10</v>
      </c>
      <c r="K506" s="144">
        <v>10</v>
      </c>
      <c r="L506" s="144">
        <v>2</v>
      </c>
      <c r="M506" s="144">
        <v>1</v>
      </c>
      <c r="N506" s="98" t="s">
        <v>64</v>
      </c>
      <c r="O506" s="99" t="s">
        <v>65</v>
      </c>
      <c r="P506" s="100">
        <v>10</v>
      </c>
      <c r="Q506" s="101">
        <f t="shared" si="125"/>
        <v>247561459</v>
      </c>
      <c r="R506" s="101">
        <f t="shared" si="126"/>
        <v>247561459</v>
      </c>
      <c r="S506" s="102" t="s">
        <v>56</v>
      </c>
      <c r="T506" s="98">
        <v>0</v>
      </c>
      <c r="U506" s="27" t="str">
        <f t="shared" si="122"/>
        <v>SUBDIRECCION DE GESTION CONTRACTUAL</v>
      </c>
      <c r="V506" s="91" t="str">
        <f t="shared" si="123"/>
        <v>CO-DC</v>
      </c>
      <c r="W506" s="27" t="str">
        <f t="shared" si="124"/>
        <v>Distrito Capital de Bogotá</v>
      </c>
      <c r="X506" s="170" t="s">
        <v>565</v>
      </c>
      <c r="Y506" s="170">
        <v>3016290046</v>
      </c>
      <c r="Z506" s="87" t="s">
        <v>566</v>
      </c>
    </row>
    <row r="507" spans="1:26" s="61" customFormat="1" ht="13.9" hidden="1" customHeight="1" x14ac:dyDescent="0.2">
      <c r="A507" s="90" t="s">
        <v>524</v>
      </c>
      <c r="B507" s="91">
        <v>82</v>
      </c>
      <c r="C507" s="92" t="s">
        <v>533</v>
      </c>
      <c r="D507" s="92" t="s">
        <v>535</v>
      </c>
      <c r="E507" s="93"/>
      <c r="F507" s="93">
        <v>247864739</v>
      </c>
      <c r="G507" s="93"/>
      <c r="H507" s="94" t="s">
        <v>564</v>
      </c>
      <c r="I507" s="167" t="s">
        <v>558</v>
      </c>
      <c r="J507" s="144">
        <v>10</v>
      </c>
      <c r="K507" s="144">
        <v>10</v>
      </c>
      <c r="L507" s="144">
        <v>2</v>
      </c>
      <c r="M507" s="144">
        <v>1</v>
      </c>
      <c r="N507" s="98" t="s">
        <v>64</v>
      </c>
      <c r="O507" s="99" t="s">
        <v>65</v>
      </c>
      <c r="P507" s="100">
        <v>10</v>
      </c>
      <c r="Q507" s="101">
        <f t="shared" si="125"/>
        <v>247864739</v>
      </c>
      <c r="R507" s="101">
        <f t="shared" si="126"/>
        <v>247864739</v>
      </c>
      <c r="S507" s="102" t="s">
        <v>56</v>
      </c>
      <c r="T507" s="98">
        <v>0</v>
      </c>
      <c r="U507" s="27" t="str">
        <f t="shared" si="122"/>
        <v>SUBDIRECCION DE GESTION CONTRACTUAL</v>
      </c>
      <c r="V507" s="91" t="str">
        <f t="shared" si="123"/>
        <v>CO-DC</v>
      </c>
      <c r="W507" s="27" t="str">
        <f t="shared" si="124"/>
        <v>Distrito Capital de Bogotá</v>
      </c>
      <c r="X507" s="170" t="s">
        <v>565</v>
      </c>
      <c r="Y507" s="170">
        <v>3016290046</v>
      </c>
      <c r="Z507" s="87" t="s">
        <v>566</v>
      </c>
    </row>
    <row r="508" spans="1:26" s="61" customFormat="1" ht="13.9" hidden="1" customHeight="1" x14ac:dyDescent="0.2">
      <c r="A508" s="90" t="s">
        <v>524</v>
      </c>
      <c r="B508" s="91">
        <v>83</v>
      </c>
      <c r="C508" s="92" t="s">
        <v>533</v>
      </c>
      <c r="D508" s="92" t="s">
        <v>536</v>
      </c>
      <c r="E508" s="93"/>
      <c r="F508" s="93">
        <v>371797104</v>
      </c>
      <c r="G508" s="93"/>
      <c r="H508" s="94" t="s">
        <v>564</v>
      </c>
      <c r="I508" s="167" t="s">
        <v>558</v>
      </c>
      <c r="J508" s="144">
        <v>10</v>
      </c>
      <c r="K508" s="144">
        <v>10</v>
      </c>
      <c r="L508" s="144">
        <v>2</v>
      </c>
      <c r="M508" s="144">
        <v>1</v>
      </c>
      <c r="N508" s="98" t="s">
        <v>64</v>
      </c>
      <c r="O508" s="99" t="s">
        <v>65</v>
      </c>
      <c r="P508" s="100">
        <v>10</v>
      </c>
      <c r="Q508" s="101">
        <f t="shared" si="125"/>
        <v>371797104</v>
      </c>
      <c r="R508" s="101">
        <f t="shared" si="126"/>
        <v>371797104</v>
      </c>
      <c r="S508" s="102" t="s">
        <v>56</v>
      </c>
      <c r="T508" s="98">
        <v>0</v>
      </c>
      <c r="U508" s="27" t="str">
        <f t="shared" si="122"/>
        <v>SUBDIRECCION DE GESTION CONTRACTUAL</v>
      </c>
      <c r="V508" s="91" t="str">
        <f t="shared" si="123"/>
        <v>CO-DC</v>
      </c>
      <c r="W508" s="27" t="str">
        <f t="shared" si="124"/>
        <v>Distrito Capital de Bogotá</v>
      </c>
      <c r="X508" s="170" t="s">
        <v>565</v>
      </c>
      <c r="Y508" s="170">
        <v>3016290046</v>
      </c>
      <c r="Z508" s="87" t="s">
        <v>566</v>
      </c>
    </row>
    <row r="509" spans="1:26" s="61" customFormat="1" ht="13.9" hidden="1" customHeight="1" x14ac:dyDescent="0.2">
      <c r="A509" s="90" t="s">
        <v>524</v>
      </c>
      <c r="B509" s="91">
        <v>84</v>
      </c>
      <c r="C509" s="92" t="s">
        <v>533</v>
      </c>
      <c r="D509" s="92" t="s">
        <v>537</v>
      </c>
      <c r="E509" s="93"/>
      <c r="F509" s="93">
        <v>247864738</v>
      </c>
      <c r="G509" s="93"/>
      <c r="H509" s="94" t="s">
        <v>564</v>
      </c>
      <c r="I509" s="167" t="s">
        <v>558</v>
      </c>
      <c r="J509" s="144">
        <v>10</v>
      </c>
      <c r="K509" s="144">
        <v>10</v>
      </c>
      <c r="L509" s="144">
        <v>2</v>
      </c>
      <c r="M509" s="144">
        <v>1</v>
      </c>
      <c r="N509" s="98" t="s">
        <v>64</v>
      </c>
      <c r="O509" s="99" t="s">
        <v>65</v>
      </c>
      <c r="P509" s="100">
        <v>10</v>
      </c>
      <c r="Q509" s="101">
        <f t="shared" si="125"/>
        <v>247864738</v>
      </c>
      <c r="R509" s="101">
        <f t="shared" si="126"/>
        <v>247864738</v>
      </c>
      <c r="S509" s="102" t="s">
        <v>56</v>
      </c>
      <c r="T509" s="98">
        <v>0</v>
      </c>
      <c r="U509" s="27" t="str">
        <f t="shared" si="122"/>
        <v>SUBDIRECCION DE GESTION CONTRACTUAL</v>
      </c>
      <c r="V509" s="91" t="str">
        <f t="shared" si="123"/>
        <v>CO-DC</v>
      </c>
      <c r="W509" s="27" t="str">
        <f t="shared" si="124"/>
        <v>Distrito Capital de Bogotá</v>
      </c>
      <c r="X509" s="170" t="s">
        <v>565</v>
      </c>
      <c r="Y509" s="170">
        <v>3016290046</v>
      </c>
      <c r="Z509" s="87" t="s">
        <v>566</v>
      </c>
    </row>
    <row r="510" spans="1:26" s="5" customFormat="1" ht="12.75" hidden="1" customHeight="1" x14ac:dyDescent="0.2">
      <c r="A510" s="90" t="s">
        <v>524</v>
      </c>
      <c r="B510" s="91">
        <v>85</v>
      </c>
      <c r="C510" s="92" t="s">
        <v>543</v>
      </c>
      <c r="D510" s="92" t="s">
        <v>546</v>
      </c>
      <c r="E510" s="93"/>
      <c r="F510" s="93">
        <v>20000000</v>
      </c>
      <c r="G510" s="93"/>
      <c r="H510" s="94" t="s">
        <v>59</v>
      </c>
      <c r="I510" s="76" t="s">
        <v>567</v>
      </c>
      <c r="J510" s="124">
        <v>3</v>
      </c>
      <c r="K510" s="124">
        <v>4</v>
      </c>
      <c r="L510" s="124">
        <v>9</v>
      </c>
      <c r="M510" s="91">
        <v>1</v>
      </c>
      <c r="N510" s="98" t="s">
        <v>61</v>
      </c>
      <c r="O510" s="99" t="s">
        <v>62</v>
      </c>
      <c r="P510" s="100">
        <v>10</v>
      </c>
      <c r="Q510" s="101">
        <f t="shared" si="125"/>
        <v>20000000</v>
      </c>
      <c r="R510" s="101">
        <f t="shared" si="126"/>
        <v>20000000</v>
      </c>
      <c r="S510" s="102" t="s">
        <v>56</v>
      </c>
      <c r="T510" s="98">
        <v>0</v>
      </c>
      <c r="U510" s="27" t="str">
        <f t="shared" si="122"/>
        <v>SUBDIRECCION DE GESTION CONTRACTUAL</v>
      </c>
      <c r="V510" s="91" t="str">
        <f t="shared" si="123"/>
        <v>CO-DC</v>
      </c>
      <c r="W510" s="27" t="str">
        <f t="shared" si="124"/>
        <v>Distrito Capital de Bogotá</v>
      </c>
      <c r="X510" s="103" t="s">
        <v>528</v>
      </c>
      <c r="Y510" s="91">
        <v>2427400</v>
      </c>
      <c r="Z510" s="105" t="s">
        <v>529</v>
      </c>
    </row>
    <row r="511" spans="1:26" s="61" customFormat="1" ht="13.9" hidden="1" customHeight="1" x14ac:dyDescent="0.2">
      <c r="A511" s="90" t="s">
        <v>524</v>
      </c>
      <c r="B511" s="91">
        <v>86</v>
      </c>
      <c r="C511" s="92" t="s">
        <v>525</v>
      </c>
      <c r="D511" s="92" t="s">
        <v>526</v>
      </c>
      <c r="E511" s="93"/>
      <c r="F511" s="93">
        <v>20000000</v>
      </c>
      <c r="G511" s="93"/>
      <c r="H511" s="94" t="s">
        <v>59</v>
      </c>
      <c r="I511" s="76" t="s">
        <v>568</v>
      </c>
      <c r="J511" s="124">
        <v>3</v>
      </c>
      <c r="K511" s="124">
        <v>4</v>
      </c>
      <c r="L511" s="124">
        <v>9</v>
      </c>
      <c r="M511" s="91">
        <v>1</v>
      </c>
      <c r="N511" s="98" t="s">
        <v>61</v>
      </c>
      <c r="O511" s="99" t="s">
        <v>62</v>
      </c>
      <c r="P511" s="100">
        <v>10</v>
      </c>
      <c r="Q511" s="101">
        <f t="shared" si="125"/>
        <v>20000000</v>
      </c>
      <c r="R511" s="101">
        <f t="shared" si="126"/>
        <v>20000000</v>
      </c>
      <c r="S511" s="102" t="s">
        <v>56</v>
      </c>
      <c r="T511" s="98">
        <v>0</v>
      </c>
      <c r="U511" s="27" t="str">
        <f t="shared" si="122"/>
        <v>SUBDIRECCION DE GESTION CONTRACTUAL</v>
      </c>
      <c r="V511" s="91" t="str">
        <f t="shared" si="123"/>
        <v>CO-DC</v>
      </c>
      <c r="W511" s="27" t="str">
        <f t="shared" si="124"/>
        <v>Distrito Capital de Bogotá</v>
      </c>
      <c r="X511" s="103" t="s">
        <v>563</v>
      </c>
      <c r="Y511" s="91">
        <v>2427400</v>
      </c>
      <c r="Z511" s="105" t="s">
        <v>529</v>
      </c>
    </row>
    <row r="512" spans="1:26" s="5" customFormat="1" ht="12.75" hidden="1" customHeight="1" x14ac:dyDescent="0.2">
      <c r="A512" s="171" t="s">
        <v>569</v>
      </c>
      <c r="B512" s="104">
        <v>1</v>
      </c>
      <c r="C512" s="134" t="s">
        <v>570</v>
      </c>
      <c r="D512" s="92" t="s">
        <v>571</v>
      </c>
      <c r="E512" s="132"/>
      <c r="F512" s="132">
        <v>1076707446</v>
      </c>
      <c r="G512" s="132"/>
      <c r="H512" s="131">
        <v>80111600</v>
      </c>
      <c r="I512" s="134" t="s">
        <v>572</v>
      </c>
      <c r="J512" s="104">
        <v>1</v>
      </c>
      <c r="K512" s="104">
        <v>1</v>
      </c>
      <c r="L512" s="104">
        <v>12</v>
      </c>
      <c r="M512" s="91">
        <f t="shared" ref="M512:M523" si="127">IF(ISBLANK(J512),"",1)</f>
        <v>1</v>
      </c>
      <c r="N512" s="98" t="s">
        <v>54</v>
      </c>
      <c r="O512" s="99" t="s">
        <v>55</v>
      </c>
      <c r="P512" s="151">
        <f t="shared" ref="P512:P523" si="128">IF(ISBLANK(N512),"",1)</f>
        <v>1</v>
      </c>
      <c r="Q512" s="101">
        <f t="shared" ref="Q512:Q523" si="129">+E512+F512+G512</f>
        <v>1076707446</v>
      </c>
      <c r="R512" s="101">
        <f t="shared" ref="R512:R523" si="130">+F512</f>
        <v>1076707446</v>
      </c>
      <c r="S512" s="144" t="s">
        <v>56</v>
      </c>
      <c r="T512" s="151">
        <f t="shared" ref="T512:T523" si="131">IF(ISBLANK(S512),"",IF(VALUE(S512)=0,0,IF(VALUE(S512)=1,3,"")))</f>
        <v>0</v>
      </c>
      <c r="U512" s="27" t="str">
        <f t="shared" si="122"/>
        <v>SUBDIRECCION DE GESTION CONTRACTUAL</v>
      </c>
      <c r="V512" s="151" t="str">
        <f t="shared" si="123"/>
        <v>CO-DC</v>
      </c>
      <c r="W512" s="151" t="str">
        <f t="shared" si="124"/>
        <v>Distrito Capital de Bogotá</v>
      </c>
      <c r="X512" s="131" t="s">
        <v>573</v>
      </c>
      <c r="Y512" s="104">
        <v>2427400</v>
      </c>
      <c r="Z512" s="133" t="s">
        <v>574</v>
      </c>
    </row>
    <row r="513" spans="1:26" s="61" customFormat="1" ht="13.9" hidden="1" customHeight="1" x14ac:dyDescent="0.2">
      <c r="A513" s="171" t="s">
        <v>569</v>
      </c>
      <c r="B513" s="104">
        <v>2</v>
      </c>
      <c r="C513" s="134" t="s">
        <v>575</v>
      </c>
      <c r="D513" s="92" t="s">
        <v>571</v>
      </c>
      <c r="E513" s="132"/>
      <c r="F513" s="132">
        <f>78585815-78585815</f>
        <v>0</v>
      </c>
      <c r="G513" s="132"/>
      <c r="H513" s="131">
        <v>86101705</v>
      </c>
      <c r="I513" s="134" t="s">
        <v>576</v>
      </c>
      <c r="J513" s="104">
        <v>5</v>
      </c>
      <c r="K513" s="104">
        <v>5</v>
      </c>
      <c r="L513" s="104">
        <v>2</v>
      </c>
      <c r="M513" s="91">
        <f t="shared" si="127"/>
        <v>1</v>
      </c>
      <c r="N513" s="98" t="s">
        <v>113</v>
      </c>
      <c r="O513" s="99" t="s">
        <v>114</v>
      </c>
      <c r="P513" s="151">
        <f t="shared" si="128"/>
        <v>1</v>
      </c>
      <c r="Q513" s="101">
        <f t="shared" si="129"/>
        <v>0</v>
      </c>
      <c r="R513" s="101">
        <f t="shared" si="130"/>
        <v>0</v>
      </c>
      <c r="S513" s="144" t="s">
        <v>56</v>
      </c>
      <c r="T513" s="151">
        <f t="shared" si="131"/>
        <v>0</v>
      </c>
      <c r="U513" s="27" t="str">
        <f t="shared" si="122"/>
        <v>SUBDIRECCION DE GESTION CONTRACTUAL</v>
      </c>
      <c r="V513" s="151" t="str">
        <f t="shared" si="123"/>
        <v>CO-DC</v>
      </c>
      <c r="W513" s="151" t="str">
        <f t="shared" si="124"/>
        <v>Distrito Capital de Bogotá</v>
      </c>
      <c r="X513" s="131" t="s">
        <v>573</v>
      </c>
      <c r="Y513" s="104">
        <v>2427400</v>
      </c>
      <c r="Z513" s="133" t="s">
        <v>574</v>
      </c>
    </row>
    <row r="514" spans="1:26" s="5" customFormat="1" ht="12.75" hidden="1" customHeight="1" x14ac:dyDescent="0.2">
      <c r="A514" s="171" t="s">
        <v>569</v>
      </c>
      <c r="B514" s="104">
        <v>3</v>
      </c>
      <c r="C514" s="134" t="s">
        <v>577</v>
      </c>
      <c r="D514" s="92" t="s">
        <v>571</v>
      </c>
      <c r="E514" s="132"/>
      <c r="F514" s="132">
        <v>378325067</v>
      </c>
      <c r="G514" s="132"/>
      <c r="H514" s="131">
        <v>80111600</v>
      </c>
      <c r="I514" s="134" t="s">
        <v>572</v>
      </c>
      <c r="J514" s="104">
        <v>1</v>
      </c>
      <c r="K514" s="104">
        <v>1</v>
      </c>
      <c r="L514" s="104">
        <v>12</v>
      </c>
      <c r="M514" s="91">
        <f t="shared" si="127"/>
        <v>1</v>
      </c>
      <c r="N514" s="98" t="s">
        <v>54</v>
      </c>
      <c r="O514" s="99" t="s">
        <v>55</v>
      </c>
      <c r="P514" s="151">
        <f t="shared" si="128"/>
        <v>1</v>
      </c>
      <c r="Q514" s="101">
        <f t="shared" si="129"/>
        <v>378325067</v>
      </c>
      <c r="R514" s="101">
        <f t="shared" si="130"/>
        <v>378325067</v>
      </c>
      <c r="S514" s="144" t="s">
        <v>56</v>
      </c>
      <c r="T514" s="151">
        <f t="shared" si="131"/>
        <v>0</v>
      </c>
      <c r="U514" s="27" t="str">
        <f t="shared" si="122"/>
        <v>SUBDIRECCION DE GESTION CONTRACTUAL</v>
      </c>
      <c r="V514" s="151" t="str">
        <f t="shared" si="123"/>
        <v>CO-DC</v>
      </c>
      <c r="W514" s="151" t="str">
        <f t="shared" si="124"/>
        <v>Distrito Capital de Bogotá</v>
      </c>
      <c r="X514" s="131" t="s">
        <v>573</v>
      </c>
      <c r="Y514" s="104">
        <v>2427400</v>
      </c>
      <c r="Z514" s="133" t="s">
        <v>574</v>
      </c>
    </row>
    <row r="515" spans="1:26" s="5" customFormat="1" ht="12.75" hidden="1" customHeight="1" x14ac:dyDescent="0.2">
      <c r="A515" s="171" t="s">
        <v>569</v>
      </c>
      <c r="B515" s="104">
        <v>4</v>
      </c>
      <c r="C515" s="134" t="s">
        <v>578</v>
      </c>
      <c r="D515" s="92" t="s">
        <v>274</v>
      </c>
      <c r="E515" s="132"/>
      <c r="F515" s="132">
        <v>89953305</v>
      </c>
      <c r="G515" s="132"/>
      <c r="H515" s="131">
        <v>80111600</v>
      </c>
      <c r="I515" s="134" t="s">
        <v>572</v>
      </c>
      <c r="J515" s="104">
        <v>1</v>
      </c>
      <c r="K515" s="104">
        <v>1</v>
      </c>
      <c r="L515" s="104">
        <v>12</v>
      </c>
      <c r="M515" s="91">
        <f t="shared" si="127"/>
        <v>1</v>
      </c>
      <c r="N515" s="98" t="s">
        <v>54</v>
      </c>
      <c r="O515" s="99" t="s">
        <v>55</v>
      </c>
      <c r="P515" s="151">
        <f t="shared" si="128"/>
        <v>1</v>
      </c>
      <c r="Q515" s="101">
        <f t="shared" si="129"/>
        <v>89953305</v>
      </c>
      <c r="R515" s="101">
        <f t="shared" si="130"/>
        <v>89953305</v>
      </c>
      <c r="S515" s="144" t="s">
        <v>56</v>
      </c>
      <c r="T515" s="151">
        <f t="shared" si="131"/>
        <v>0</v>
      </c>
      <c r="U515" s="27" t="str">
        <f t="shared" si="122"/>
        <v>SUBDIRECCION DE GESTION CONTRACTUAL</v>
      </c>
      <c r="V515" s="151" t="str">
        <f t="shared" si="123"/>
        <v>CO-DC</v>
      </c>
      <c r="W515" s="151" t="str">
        <f t="shared" si="124"/>
        <v>Distrito Capital de Bogotá</v>
      </c>
      <c r="X515" s="131" t="s">
        <v>573</v>
      </c>
      <c r="Y515" s="104">
        <v>2427400</v>
      </c>
      <c r="Z515" s="133" t="s">
        <v>574</v>
      </c>
    </row>
    <row r="516" spans="1:26" s="5" customFormat="1" ht="12.75" hidden="1" customHeight="1" x14ac:dyDescent="0.2">
      <c r="A516" s="171" t="s">
        <v>569</v>
      </c>
      <c r="B516" s="104">
        <v>5</v>
      </c>
      <c r="C516" s="134" t="s">
        <v>579</v>
      </c>
      <c r="D516" s="92" t="s">
        <v>571</v>
      </c>
      <c r="E516" s="132"/>
      <c r="F516" s="132">
        <v>966381672</v>
      </c>
      <c r="G516" s="132"/>
      <c r="H516" s="131">
        <v>80111600</v>
      </c>
      <c r="I516" s="134" t="s">
        <v>572</v>
      </c>
      <c r="J516" s="104">
        <v>1</v>
      </c>
      <c r="K516" s="104">
        <v>1</v>
      </c>
      <c r="L516" s="104">
        <v>12</v>
      </c>
      <c r="M516" s="91">
        <f t="shared" si="127"/>
        <v>1</v>
      </c>
      <c r="N516" s="98" t="s">
        <v>54</v>
      </c>
      <c r="O516" s="99" t="s">
        <v>55</v>
      </c>
      <c r="P516" s="151">
        <f t="shared" si="128"/>
        <v>1</v>
      </c>
      <c r="Q516" s="101">
        <f t="shared" si="129"/>
        <v>966381672</v>
      </c>
      <c r="R516" s="101">
        <f t="shared" si="130"/>
        <v>966381672</v>
      </c>
      <c r="S516" s="144" t="s">
        <v>56</v>
      </c>
      <c r="T516" s="151">
        <f t="shared" si="131"/>
        <v>0</v>
      </c>
      <c r="U516" s="27" t="str">
        <f t="shared" si="122"/>
        <v>SUBDIRECCION DE GESTION CONTRACTUAL</v>
      </c>
      <c r="V516" s="151" t="str">
        <f t="shared" si="123"/>
        <v>CO-DC</v>
      </c>
      <c r="W516" s="151" t="str">
        <f t="shared" si="124"/>
        <v>Distrito Capital de Bogotá</v>
      </c>
      <c r="X516" s="131" t="s">
        <v>573</v>
      </c>
      <c r="Y516" s="104">
        <v>2427400</v>
      </c>
      <c r="Z516" s="133" t="s">
        <v>574</v>
      </c>
    </row>
    <row r="517" spans="1:26" s="5" customFormat="1" ht="12.75" hidden="1" customHeight="1" x14ac:dyDescent="0.2">
      <c r="A517" s="171" t="s">
        <v>569</v>
      </c>
      <c r="B517" s="104">
        <v>6</v>
      </c>
      <c r="C517" s="134" t="s">
        <v>580</v>
      </c>
      <c r="D517" s="92" t="s">
        <v>581</v>
      </c>
      <c r="E517" s="132"/>
      <c r="F517" s="132">
        <f>3350010673-15000000-340000000-50000000+102000000</f>
        <v>3047010673</v>
      </c>
      <c r="G517" s="132"/>
      <c r="H517" s="131">
        <v>80111600</v>
      </c>
      <c r="I517" s="134" t="s">
        <v>572</v>
      </c>
      <c r="J517" s="104">
        <v>1</v>
      </c>
      <c r="K517" s="104">
        <v>1</v>
      </c>
      <c r="L517" s="104">
        <v>12</v>
      </c>
      <c r="M517" s="91">
        <f t="shared" si="127"/>
        <v>1</v>
      </c>
      <c r="N517" s="98" t="s">
        <v>54</v>
      </c>
      <c r="O517" s="99" t="s">
        <v>55</v>
      </c>
      <c r="P517" s="151">
        <f t="shared" si="128"/>
        <v>1</v>
      </c>
      <c r="Q517" s="101">
        <f t="shared" si="129"/>
        <v>3047010673</v>
      </c>
      <c r="R517" s="101">
        <f t="shared" si="130"/>
        <v>3047010673</v>
      </c>
      <c r="S517" s="144" t="s">
        <v>56</v>
      </c>
      <c r="T517" s="151">
        <f t="shared" si="131"/>
        <v>0</v>
      </c>
      <c r="U517" s="27" t="str">
        <f t="shared" si="122"/>
        <v>SUBDIRECCION DE GESTION CONTRACTUAL</v>
      </c>
      <c r="V517" s="151" t="str">
        <f t="shared" si="123"/>
        <v>CO-DC</v>
      </c>
      <c r="W517" s="151" t="str">
        <f t="shared" si="124"/>
        <v>Distrito Capital de Bogotá</v>
      </c>
      <c r="X517" s="131" t="s">
        <v>573</v>
      </c>
      <c r="Y517" s="104">
        <v>2427400</v>
      </c>
      <c r="Z517" s="133" t="s">
        <v>574</v>
      </c>
    </row>
    <row r="518" spans="1:26" s="5" customFormat="1" ht="12.75" hidden="1" customHeight="1" x14ac:dyDescent="0.2">
      <c r="A518" s="171" t="s">
        <v>569</v>
      </c>
      <c r="B518" s="104">
        <v>7</v>
      </c>
      <c r="C518" s="134" t="s">
        <v>580</v>
      </c>
      <c r="D518" s="92" t="s">
        <v>581</v>
      </c>
      <c r="E518" s="132"/>
      <c r="F518" s="132">
        <f>100000000-50000000</f>
        <v>50000000</v>
      </c>
      <c r="G518" s="132"/>
      <c r="H518" s="131" t="s">
        <v>91</v>
      </c>
      <c r="I518" s="134" t="s">
        <v>582</v>
      </c>
      <c r="J518" s="104">
        <v>11</v>
      </c>
      <c r="K518" s="104">
        <v>11</v>
      </c>
      <c r="L518" s="104">
        <v>2</v>
      </c>
      <c r="M518" s="91">
        <f t="shared" si="127"/>
        <v>1</v>
      </c>
      <c r="N518" s="98" t="s">
        <v>87</v>
      </c>
      <c r="O518" s="99" t="s">
        <v>216</v>
      </c>
      <c r="P518" s="151">
        <f t="shared" si="128"/>
        <v>1</v>
      </c>
      <c r="Q518" s="101">
        <f t="shared" si="129"/>
        <v>50000000</v>
      </c>
      <c r="R518" s="101">
        <f t="shared" si="130"/>
        <v>50000000</v>
      </c>
      <c r="S518" s="144" t="s">
        <v>56</v>
      </c>
      <c r="T518" s="151">
        <f t="shared" si="131"/>
        <v>0</v>
      </c>
      <c r="U518" s="27" t="str">
        <f t="shared" si="122"/>
        <v>SUBDIRECCION DE GESTION CONTRACTUAL</v>
      </c>
      <c r="V518" s="151" t="str">
        <f t="shared" si="123"/>
        <v>CO-DC</v>
      </c>
      <c r="W518" s="151" t="str">
        <f t="shared" si="124"/>
        <v>Distrito Capital de Bogotá</v>
      </c>
      <c r="X518" s="131" t="s">
        <v>573</v>
      </c>
      <c r="Y518" s="104">
        <v>2427400</v>
      </c>
      <c r="Z518" s="133" t="s">
        <v>574</v>
      </c>
    </row>
    <row r="519" spans="1:26" s="5" customFormat="1" ht="12.75" hidden="1" customHeight="1" x14ac:dyDescent="0.2">
      <c r="A519" s="171" t="s">
        <v>569</v>
      </c>
      <c r="B519" s="104">
        <v>8</v>
      </c>
      <c r="C519" s="134" t="s">
        <v>580</v>
      </c>
      <c r="D519" s="92" t="s">
        <v>581</v>
      </c>
      <c r="E519" s="132"/>
      <c r="F519" s="132">
        <f>49989327+50000000</f>
        <v>99989327</v>
      </c>
      <c r="G519" s="132"/>
      <c r="H519" s="131" t="s">
        <v>583</v>
      </c>
      <c r="I519" s="134" t="s">
        <v>584</v>
      </c>
      <c r="J519" s="104">
        <v>9</v>
      </c>
      <c r="K519" s="104">
        <v>10</v>
      </c>
      <c r="L519" s="104">
        <v>1</v>
      </c>
      <c r="M519" s="91">
        <f t="shared" si="127"/>
        <v>1</v>
      </c>
      <c r="N519" s="98" t="s">
        <v>100</v>
      </c>
      <c r="O519" s="99" t="s">
        <v>101</v>
      </c>
      <c r="P519" s="151">
        <f t="shared" si="128"/>
        <v>1</v>
      </c>
      <c r="Q519" s="101">
        <f t="shared" si="129"/>
        <v>99989327</v>
      </c>
      <c r="R519" s="101">
        <f t="shared" si="130"/>
        <v>99989327</v>
      </c>
      <c r="S519" s="144" t="s">
        <v>56</v>
      </c>
      <c r="T519" s="151">
        <f t="shared" si="131"/>
        <v>0</v>
      </c>
      <c r="U519" s="27" t="str">
        <f t="shared" si="122"/>
        <v>SUBDIRECCION DE GESTION CONTRACTUAL</v>
      </c>
      <c r="V519" s="151" t="str">
        <f t="shared" si="123"/>
        <v>CO-DC</v>
      </c>
      <c r="W519" s="151" t="str">
        <f t="shared" si="124"/>
        <v>Distrito Capital de Bogotá</v>
      </c>
      <c r="X519" s="131" t="s">
        <v>573</v>
      </c>
      <c r="Y519" s="104">
        <v>2427400</v>
      </c>
      <c r="Z519" s="133" t="s">
        <v>574</v>
      </c>
    </row>
    <row r="520" spans="1:26" s="5" customFormat="1" ht="12.75" hidden="1" customHeight="1" x14ac:dyDescent="0.2">
      <c r="A520" s="171" t="s">
        <v>569</v>
      </c>
      <c r="B520" s="104">
        <v>9</v>
      </c>
      <c r="C520" s="134" t="s">
        <v>580</v>
      </c>
      <c r="D520" s="92" t="s">
        <v>581</v>
      </c>
      <c r="E520" s="132"/>
      <c r="F520" s="132">
        <v>15000000</v>
      </c>
      <c r="G520" s="132"/>
      <c r="H520" s="131" t="s">
        <v>452</v>
      </c>
      <c r="I520" s="134" t="s">
        <v>585</v>
      </c>
      <c r="J520" s="95">
        <v>10</v>
      </c>
      <c r="K520" s="96" t="s">
        <v>168</v>
      </c>
      <c r="L520" s="97">
        <v>1</v>
      </c>
      <c r="M520" s="91">
        <f t="shared" si="127"/>
        <v>1</v>
      </c>
      <c r="N520" s="98" t="s">
        <v>100</v>
      </c>
      <c r="O520" s="99" t="s">
        <v>101</v>
      </c>
      <c r="P520" s="151">
        <f t="shared" si="128"/>
        <v>1</v>
      </c>
      <c r="Q520" s="101">
        <f t="shared" si="129"/>
        <v>15000000</v>
      </c>
      <c r="R520" s="101">
        <f t="shared" si="130"/>
        <v>15000000</v>
      </c>
      <c r="S520" s="144" t="s">
        <v>56</v>
      </c>
      <c r="T520" s="151">
        <f t="shared" si="131"/>
        <v>0</v>
      </c>
      <c r="U520" s="27" t="str">
        <f t="shared" si="122"/>
        <v>SUBDIRECCION DE GESTION CONTRACTUAL</v>
      </c>
      <c r="V520" s="91" t="str">
        <f t="shared" si="123"/>
        <v>CO-DC</v>
      </c>
      <c r="W520" s="27" t="str">
        <f t="shared" si="124"/>
        <v>Distrito Capital de Bogotá</v>
      </c>
      <c r="X520" s="103" t="s">
        <v>196</v>
      </c>
      <c r="Y520" s="91">
        <v>2427400</v>
      </c>
      <c r="Z520" s="105" t="s">
        <v>197</v>
      </c>
    </row>
    <row r="521" spans="1:26" s="61" customFormat="1" ht="13.9" hidden="1" customHeight="1" x14ac:dyDescent="0.2">
      <c r="A521" s="171" t="s">
        <v>569</v>
      </c>
      <c r="B521" s="104">
        <v>10</v>
      </c>
      <c r="C521" s="134" t="s">
        <v>580</v>
      </c>
      <c r="D521" s="92" t="s">
        <v>581</v>
      </c>
      <c r="E521" s="132"/>
      <c r="F521" s="132">
        <f>50000000-50000000</f>
        <v>0</v>
      </c>
      <c r="G521" s="132"/>
      <c r="H521" s="94" t="s">
        <v>67</v>
      </c>
      <c r="I521" s="134" t="s">
        <v>586</v>
      </c>
      <c r="J521" s="124">
        <v>2</v>
      </c>
      <c r="K521" s="124">
        <v>3</v>
      </c>
      <c r="L521" s="124">
        <v>9</v>
      </c>
      <c r="M521" s="91">
        <f t="shared" si="127"/>
        <v>1</v>
      </c>
      <c r="N521" s="98" t="s">
        <v>69</v>
      </c>
      <c r="O521" s="99" t="s">
        <v>70</v>
      </c>
      <c r="P521" s="151">
        <f t="shared" si="128"/>
        <v>1</v>
      </c>
      <c r="Q521" s="101">
        <f t="shared" si="129"/>
        <v>0</v>
      </c>
      <c r="R521" s="101">
        <f t="shared" si="130"/>
        <v>0</v>
      </c>
      <c r="S521" s="144" t="s">
        <v>56</v>
      </c>
      <c r="T521" s="151">
        <f t="shared" si="131"/>
        <v>0</v>
      </c>
      <c r="U521" s="27" t="str">
        <f t="shared" si="122"/>
        <v>SUBDIRECCION DE GESTION CONTRACTUAL</v>
      </c>
      <c r="V521" s="151" t="str">
        <f t="shared" si="123"/>
        <v>CO-DC</v>
      </c>
      <c r="W521" s="172" t="str">
        <f t="shared" si="124"/>
        <v>Distrito Capital de Bogotá</v>
      </c>
      <c r="X521" s="131" t="s">
        <v>573</v>
      </c>
      <c r="Y521" s="104">
        <v>2427400</v>
      </c>
      <c r="Z521" s="133" t="s">
        <v>574</v>
      </c>
    </row>
    <row r="522" spans="1:26" s="61" customFormat="1" ht="13.9" hidden="1" customHeight="1" x14ac:dyDescent="0.25">
      <c r="A522" s="90" t="s">
        <v>569</v>
      </c>
      <c r="B522" s="91">
        <v>11</v>
      </c>
      <c r="C522" s="92" t="s">
        <v>580</v>
      </c>
      <c r="D522" s="92" t="s">
        <v>581</v>
      </c>
      <c r="E522" s="93"/>
      <c r="F522" s="93">
        <v>50000000</v>
      </c>
      <c r="G522" s="93"/>
      <c r="H522" s="94" t="s">
        <v>587</v>
      </c>
      <c r="I522" s="76" t="s">
        <v>588</v>
      </c>
      <c r="J522" s="104">
        <v>11</v>
      </c>
      <c r="K522" s="124">
        <v>11</v>
      </c>
      <c r="L522" s="124">
        <v>1</v>
      </c>
      <c r="M522" s="91">
        <v>1</v>
      </c>
      <c r="N522" s="98" t="s">
        <v>87</v>
      </c>
      <c r="O522" s="99" t="s">
        <v>88</v>
      </c>
      <c r="P522" s="100">
        <f t="shared" si="128"/>
        <v>1</v>
      </c>
      <c r="Q522" s="101">
        <f t="shared" si="129"/>
        <v>50000000</v>
      </c>
      <c r="R522" s="101">
        <f t="shared" si="130"/>
        <v>50000000</v>
      </c>
      <c r="S522" s="102" t="s">
        <v>56</v>
      </c>
      <c r="T522" s="98">
        <f t="shared" si="131"/>
        <v>0</v>
      </c>
      <c r="U522" s="27" t="str">
        <f t="shared" si="122"/>
        <v>SUBDIRECCION DE GESTION CONTRACTUAL</v>
      </c>
      <c r="V522" s="91" t="str">
        <f t="shared" si="123"/>
        <v>CO-DC</v>
      </c>
      <c r="W522" s="27" t="str">
        <f t="shared" si="124"/>
        <v>Distrito Capital de Bogotá</v>
      </c>
      <c r="X522" s="173" t="s">
        <v>89</v>
      </c>
      <c r="Y522" s="91">
        <v>2427400</v>
      </c>
      <c r="Z522" s="85" t="s">
        <v>589</v>
      </c>
    </row>
    <row r="523" spans="1:26" s="61" customFormat="1" ht="13.9" hidden="1" customHeight="1" x14ac:dyDescent="0.2">
      <c r="A523" s="171" t="s">
        <v>569</v>
      </c>
      <c r="B523" s="104">
        <v>12</v>
      </c>
      <c r="C523" s="134" t="s">
        <v>580</v>
      </c>
      <c r="D523" s="131" t="s">
        <v>581</v>
      </c>
      <c r="E523" s="132"/>
      <c r="F523" s="132">
        <f>290000000-52000000</f>
        <v>238000000</v>
      </c>
      <c r="G523" s="132"/>
      <c r="H523" s="94" t="s">
        <v>67</v>
      </c>
      <c r="I523" s="134" t="s">
        <v>586</v>
      </c>
      <c r="J523" s="95">
        <v>2</v>
      </c>
      <c r="K523" s="96">
        <v>3</v>
      </c>
      <c r="L523" s="97">
        <v>9</v>
      </c>
      <c r="M523" s="91">
        <f t="shared" si="127"/>
        <v>1</v>
      </c>
      <c r="N523" s="98" t="s">
        <v>69</v>
      </c>
      <c r="O523" s="99" t="s">
        <v>70</v>
      </c>
      <c r="P523" s="151">
        <f t="shared" si="128"/>
        <v>1</v>
      </c>
      <c r="Q523" s="101">
        <f t="shared" si="129"/>
        <v>238000000</v>
      </c>
      <c r="R523" s="101">
        <f t="shared" si="130"/>
        <v>238000000</v>
      </c>
      <c r="S523" s="144" t="s">
        <v>56</v>
      </c>
      <c r="T523" s="151">
        <f t="shared" si="131"/>
        <v>0</v>
      </c>
      <c r="U523" s="27" t="str">
        <f t="shared" si="122"/>
        <v>SUBDIRECCION DE GESTION CONTRACTUAL</v>
      </c>
      <c r="V523" s="151" t="str">
        <f t="shared" si="123"/>
        <v>CO-DC</v>
      </c>
      <c r="W523" s="172" t="str">
        <f t="shared" si="124"/>
        <v>Distrito Capital de Bogotá</v>
      </c>
      <c r="X523" s="131" t="s">
        <v>573</v>
      </c>
      <c r="Y523" s="104">
        <v>2427400</v>
      </c>
      <c r="Z523" s="133" t="s">
        <v>574</v>
      </c>
    </row>
    <row r="524" spans="1:26" s="61" customFormat="1" ht="13.9" hidden="1" customHeight="1" x14ac:dyDescent="0.2">
      <c r="A524" s="90" t="s">
        <v>590</v>
      </c>
      <c r="B524" s="91">
        <v>1</v>
      </c>
      <c r="C524" s="92" t="s">
        <v>591</v>
      </c>
      <c r="D524" s="92" t="s">
        <v>592</v>
      </c>
      <c r="E524" s="93"/>
      <c r="F524" s="93">
        <f>1416666667-5167000</f>
        <v>1411499667</v>
      </c>
      <c r="G524" s="93"/>
      <c r="H524" s="94">
        <v>80111600</v>
      </c>
      <c r="I524" s="76" t="s">
        <v>593</v>
      </c>
      <c r="J524" s="124">
        <v>1</v>
      </c>
      <c r="K524" s="124">
        <v>1</v>
      </c>
      <c r="L524" s="124">
        <v>12</v>
      </c>
      <c r="M524" s="91">
        <f t="shared" ref="M524:M530" si="132">IF(ISBLANK(J524),"",1)</f>
        <v>1</v>
      </c>
      <c r="N524" s="98" t="s">
        <v>54</v>
      </c>
      <c r="O524" s="99" t="s">
        <v>55</v>
      </c>
      <c r="P524" s="100">
        <f t="shared" ref="P524:P550" si="133">IF(ISBLANK(N524),"",1)</f>
        <v>1</v>
      </c>
      <c r="Q524" s="101">
        <f t="shared" ref="Q524:Q558" si="134">+E524+F524+G524</f>
        <v>1411499667</v>
      </c>
      <c r="R524" s="101">
        <f t="shared" ref="R524:R558" si="135">+F524</f>
        <v>1411499667</v>
      </c>
      <c r="S524" s="102" t="s">
        <v>56</v>
      </c>
      <c r="T524" s="98">
        <f t="shared" ref="T524:T552" si="136">IF(ISBLANK(S524),"",IF(VALUE(S524)=0,0,IF(VALUE(S524)=1,3,"")))</f>
        <v>0</v>
      </c>
      <c r="U524" s="27" t="str">
        <f t="shared" ref="U524:U553" si="137">IF(ISBLANK(N524),"","SUBDIRECCION DE GESTION CONTRACTUAL")</f>
        <v>SUBDIRECCION DE GESTION CONTRACTUAL</v>
      </c>
      <c r="V524" s="91" t="str">
        <f t="shared" ref="V524:V553" si="138">IF(ISBLANK(N524),"","CO-DC")</f>
        <v>CO-DC</v>
      </c>
      <c r="W524" s="27" t="str">
        <f t="shared" ref="W524:W553" si="139">IF(ISBLANK(N524),"","Distrito Capital de Bogotá")</f>
        <v>Distrito Capital de Bogotá</v>
      </c>
      <c r="X524" s="103" t="s">
        <v>121</v>
      </c>
      <c r="Y524" s="91">
        <v>2427400</v>
      </c>
      <c r="Z524" s="105" t="s">
        <v>122</v>
      </c>
    </row>
    <row r="525" spans="1:26" s="61" customFormat="1" ht="13.9" hidden="1" customHeight="1" x14ac:dyDescent="0.2">
      <c r="A525" s="90" t="s">
        <v>590</v>
      </c>
      <c r="B525" s="91">
        <v>2</v>
      </c>
      <c r="C525" s="92" t="s">
        <v>594</v>
      </c>
      <c r="D525" s="92" t="s">
        <v>592</v>
      </c>
      <c r="E525" s="93"/>
      <c r="F525" s="93">
        <f>1375206666-318345061</f>
        <v>1056861605</v>
      </c>
      <c r="G525" s="93"/>
      <c r="H525" s="94">
        <v>80111600</v>
      </c>
      <c r="I525" s="76" t="s">
        <v>593</v>
      </c>
      <c r="J525" s="124">
        <v>1</v>
      </c>
      <c r="K525" s="124">
        <v>1</v>
      </c>
      <c r="L525" s="124">
        <v>12</v>
      </c>
      <c r="M525" s="91">
        <f t="shared" si="132"/>
        <v>1</v>
      </c>
      <c r="N525" s="98" t="s">
        <v>54</v>
      </c>
      <c r="O525" s="99" t="s">
        <v>55</v>
      </c>
      <c r="P525" s="100">
        <f t="shared" si="133"/>
        <v>1</v>
      </c>
      <c r="Q525" s="101">
        <f t="shared" si="134"/>
        <v>1056861605</v>
      </c>
      <c r="R525" s="101">
        <f t="shared" si="135"/>
        <v>1056861605</v>
      </c>
      <c r="S525" s="102" t="s">
        <v>56</v>
      </c>
      <c r="T525" s="98">
        <f t="shared" si="136"/>
        <v>0</v>
      </c>
      <c r="U525" s="27" t="str">
        <f t="shared" si="137"/>
        <v>SUBDIRECCION DE GESTION CONTRACTUAL</v>
      </c>
      <c r="V525" s="91" t="str">
        <f t="shared" si="138"/>
        <v>CO-DC</v>
      </c>
      <c r="W525" s="27" t="str">
        <f t="shared" si="139"/>
        <v>Distrito Capital de Bogotá</v>
      </c>
      <c r="X525" s="103" t="s">
        <v>121</v>
      </c>
      <c r="Y525" s="91">
        <v>2427400</v>
      </c>
      <c r="Z525" s="105" t="s">
        <v>122</v>
      </c>
    </row>
    <row r="526" spans="1:26" s="61" customFormat="1" ht="13.9" hidden="1" customHeight="1" x14ac:dyDescent="0.2">
      <c r="A526" s="90" t="s">
        <v>590</v>
      </c>
      <c r="B526" s="91">
        <v>3</v>
      </c>
      <c r="C526" s="92" t="s">
        <v>594</v>
      </c>
      <c r="D526" s="92" t="s">
        <v>592</v>
      </c>
      <c r="E526" s="93"/>
      <c r="F526" s="93">
        <f>2623583333-225000000-200000000-1386583333</f>
        <v>812000000</v>
      </c>
      <c r="G526" s="93"/>
      <c r="H526" s="94" t="s">
        <v>595</v>
      </c>
      <c r="I526" s="76" t="s">
        <v>596</v>
      </c>
      <c r="J526" s="124">
        <v>6</v>
      </c>
      <c r="K526" s="124">
        <v>10</v>
      </c>
      <c r="L526" s="124">
        <v>2</v>
      </c>
      <c r="M526" s="91">
        <f t="shared" si="132"/>
        <v>1</v>
      </c>
      <c r="N526" s="98" t="s">
        <v>69</v>
      </c>
      <c r="O526" s="99" t="s">
        <v>70</v>
      </c>
      <c r="P526" s="100">
        <f t="shared" si="133"/>
        <v>1</v>
      </c>
      <c r="Q526" s="101">
        <f t="shared" si="134"/>
        <v>812000000</v>
      </c>
      <c r="R526" s="101">
        <f t="shared" si="135"/>
        <v>812000000</v>
      </c>
      <c r="S526" s="102" t="s">
        <v>56</v>
      </c>
      <c r="T526" s="98">
        <f t="shared" si="136"/>
        <v>0</v>
      </c>
      <c r="U526" s="27" t="str">
        <f t="shared" si="137"/>
        <v>SUBDIRECCION DE GESTION CONTRACTUAL</v>
      </c>
      <c r="V526" s="91" t="str">
        <f t="shared" si="138"/>
        <v>CO-DC</v>
      </c>
      <c r="W526" s="27" t="str">
        <f t="shared" si="139"/>
        <v>Distrito Capital de Bogotá</v>
      </c>
      <c r="X526" s="103" t="s">
        <v>121</v>
      </c>
      <c r="Y526" s="91">
        <v>2427400</v>
      </c>
      <c r="Z526" s="105" t="s">
        <v>122</v>
      </c>
    </row>
    <row r="527" spans="1:26" s="61" customFormat="1" ht="13.9" hidden="1" customHeight="1" x14ac:dyDescent="0.2">
      <c r="A527" s="90" t="s">
        <v>590</v>
      </c>
      <c r="B527" s="91">
        <v>4</v>
      </c>
      <c r="C527" s="92" t="s">
        <v>594</v>
      </c>
      <c r="D527" s="92" t="s">
        <v>592</v>
      </c>
      <c r="E527" s="93"/>
      <c r="F527" s="93">
        <f>225000000+225000000-77572795</f>
        <v>372427205</v>
      </c>
      <c r="G527" s="93"/>
      <c r="H527" s="94" t="s">
        <v>597</v>
      </c>
      <c r="I527" s="76" t="s">
        <v>598</v>
      </c>
      <c r="J527" s="124">
        <v>3</v>
      </c>
      <c r="K527" s="124">
        <v>5</v>
      </c>
      <c r="L527" s="124">
        <v>2</v>
      </c>
      <c r="M527" s="91">
        <f t="shared" si="132"/>
        <v>1</v>
      </c>
      <c r="N527" s="98" t="s">
        <v>125</v>
      </c>
      <c r="O527" s="99" t="s">
        <v>126</v>
      </c>
      <c r="P527" s="100">
        <f t="shared" si="133"/>
        <v>1</v>
      </c>
      <c r="Q527" s="101">
        <f t="shared" si="134"/>
        <v>372427205</v>
      </c>
      <c r="R527" s="101">
        <f t="shared" si="135"/>
        <v>372427205</v>
      </c>
      <c r="S527" s="102" t="s">
        <v>56</v>
      </c>
      <c r="T527" s="98">
        <f t="shared" si="136"/>
        <v>0</v>
      </c>
      <c r="U527" s="27" t="str">
        <f t="shared" si="137"/>
        <v>SUBDIRECCION DE GESTION CONTRACTUAL</v>
      </c>
      <c r="V527" s="91" t="str">
        <f t="shared" si="138"/>
        <v>CO-DC</v>
      </c>
      <c r="W527" s="27" t="str">
        <f t="shared" si="139"/>
        <v>Distrito Capital de Bogotá</v>
      </c>
      <c r="X527" s="103" t="s">
        <v>121</v>
      </c>
      <c r="Y527" s="91">
        <v>2427400</v>
      </c>
      <c r="Z527" s="105" t="s">
        <v>122</v>
      </c>
    </row>
    <row r="528" spans="1:26" s="61" customFormat="1" ht="13.9" hidden="1" customHeight="1" x14ac:dyDescent="0.2">
      <c r="A528" s="90" t="s">
        <v>590</v>
      </c>
      <c r="B528" s="91">
        <v>5</v>
      </c>
      <c r="C528" s="92" t="s">
        <v>594</v>
      </c>
      <c r="D528" s="92" t="s">
        <v>592</v>
      </c>
      <c r="E528" s="93"/>
      <c r="F528" s="93">
        <v>250000000</v>
      </c>
      <c r="G528" s="93"/>
      <c r="H528" s="94" t="s">
        <v>599</v>
      </c>
      <c r="I528" s="76" t="s">
        <v>600</v>
      </c>
      <c r="J528" s="124">
        <v>3</v>
      </c>
      <c r="K528" s="124">
        <v>5</v>
      </c>
      <c r="L528" s="124">
        <v>2</v>
      </c>
      <c r="M528" s="91">
        <f t="shared" si="132"/>
        <v>1</v>
      </c>
      <c r="N528" s="98" t="s">
        <v>125</v>
      </c>
      <c r="O528" s="99" t="s">
        <v>126</v>
      </c>
      <c r="P528" s="100">
        <f t="shared" si="133"/>
        <v>1</v>
      </c>
      <c r="Q528" s="101">
        <f t="shared" si="134"/>
        <v>250000000</v>
      </c>
      <c r="R528" s="101">
        <f t="shared" si="135"/>
        <v>250000000</v>
      </c>
      <c r="S528" s="102" t="s">
        <v>56</v>
      </c>
      <c r="T528" s="98">
        <f t="shared" si="136"/>
        <v>0</v>
      </c>
      <c r="U528" s="27" t="str">
        <f t="shared" si="137"/>
        <v>SUBDIRECCION DE GESTION CONTRACTUAL</v>
      </c>
      <c r="V528" s="91" t="str">
        <f t="shared" si="138"/>
        <v>CO-DC</v>
      </c>
      <c r="W528" s="27" t="str">
        <f t="shared" si="139"/>
        <v>Distrito Capital de Bogotá</v>
      </c>
      <c r="X528" s="103" t="s">
        <v>121</v>
      </c>
      <c r="Y528" s="91">
        <v>2427400</v>
      </c>
      <c r="Z528" s="105" t="s">
        <v>122</v>
      </c>
    </row>
    <row r="529" spans="1:26" s="61" customFormat="1" ht="13.9" hidden="1" customHeight="1" x14ac:dyDescent="0.2">
      <c r="A529" s="90" t="s">
        <v>590</v>
      </c>
      <c r="B529" s="91">
        <v>6</v>
      </c>
      <c r="C529" s="92" t="s">
        <v>591</v>
      </c>
      <c r="D529" s="92" t="s">
        <v>592</v>
      </c>
      <c r="E529" s="93"/>
      <c r="F529" s="93">
        <f>1297767202-1000000000+302232798</f>
        <v>600000000</v>
      </c>
      <c r="G529" s="93"/>
      <c r="H529" s="104" t="s">
        <v>85</v>
      </c>
      <c r="I529" s="76" t="s">
        <v>601</v>
      </c>
      <c r="J529" s="104">
        <v>11</v>
      </c>
      <c r="K529" s="124">
        <v>11</v>
      </c>
      <c r="L529" s="124">
        <v>1</v>
      </c>
      <c r="M529" s="91">
        <f t="shared" si="132"/>
        <v>1</v>
      </c>
      <c r="N529" s="98" t="s">
        <v>87</v>
      </c>
      <c r="O529" s="99" t="s">
        <v>88</v>
      </c>
      <c r="P529" s="100">
        <f t="shared" si="133"/>
        <v>1</v>
      </c>
      <c r="Q529" s="101">
        <f t="shared" si="134"/>
        <v>600000000</v>
      </c>
      <c r="R529" s="101">
        <f t="shared" si="135"/>
        <v>600000000</v>
      </c>
      <c r="S529" s="102" t="s">
        <v>56</v>
      </c>
      <c r="T529" s="98">
        <f t="shared" si="136"/>
        <v>0</v>
      </c>
      <c r="U529" s="27" t="str">
        <f t="shared" si="137"/>
        <v>SUBDIRECCION DE GESTION CONTRACTUAL</v>
      </c>
      <c r="V529" s="91" t="str">
        <f t="shared" si="138"/>
        <v>CO-DC</v>
      </c>
      <c r="W529" s="27" t="str">
        <f t="shared" si="139"/>
        <v>Distrito Capital de Bogotá</v>
      </c>
      <c r="X529" s="27" t="s">
        <v>89</v>
      </c>
      <c r="Y529" s="91">
        <v>2427400</v>
      </c>
      <c r="Z529" s="174" t="s">
        <v>90</v>
      </c>
    </row>
    <row r="530" spans="1:26" s="61" customFormat="1" ht="13.9" hidden="1" customHeight="1" x14ac:dyDescent="0.2">
      <c r="A530" s="90" t="s">
        <v>590</v>
      </c>
      <c r="B530" s="91">
        <v>7</v>
      </c>
      <c r="C530" s="92" t="s">
        <v>594</v>
      </c>
      <c r="D530" s="92" t="s">
        <v>592</v>
      </c>
      <c r="E530" s="93"/>
      <c r="F530" s="93">
        <f>80000000+8080587</f>
        <v>88080587</v>
      </c>
      <c r="G530" s="93"/>
      <c r="H530" s="104" t="s">
        <v>85</v>
      </c>
      <c r="I530" s="76" t="s">
        <v>601</v>
      </c>
      <c r="J530" s="104">
        <v>11</v>
      </c>
      <c r="K530" s="124">
        <v>11</v>
      </c>
      <c r="L530" s="124">
        <v>1</v>
      </c>
      <c r="M530" s="91">
        <f t="shared" si="132"/>
        <v>1</v>
      </c>
      <c r="N530" s="98" t="s">
        <v>87</v>
      </c>
      <c r="O530" s="99" t="s">
        <v>88</v>
      </c>
      <c r="P530" s="100">
        <f t="shared" si="133"/>
        <v>1</v>
      </c>
      <c r="Q530" s="101">
        <f t="shared" si="134"/>
        <v>88080587</v>
      </c>
      <c r="R530" s="101">
        <f t="shared" si="135"/>
        <v>88080587</v>
      </c>
      <c r="S530" s="102" t="s">
        <v>56</v>
      </c>
      <c r="T530" s="98">
        <f t="shared" si="136"/>
        <v>0</v>
      </c>
      <c r="U530" s="27" t="str">
        <f t="shared" si="137"/>
        <v>SUBDIRECCION DE GESTION CONTRACTUAL</v>
      </c>
      <c r="V530" s="91" t="str">
        <f t="shared" si="138"/>
        <v>CO-DC</v>
      </c>
      <c r="W530" s="27" t="str">
        <f t="shared" si="139"/>
        <v>Distrito Capital de Bogotá</v>
      </c>
      <c r="X530" s="103" t="s">
        <v>121</v>
      </c>
      <c r="Y530" s="91">
        <v>2427400</v>
      </c>
      <c r="Z530" s="105" t="s">
        <v>122</v>
      </c>
    </row>
    <row r="531" spans="1:26" s="61" customFormat="1" ht="13.9" hidden="1" customHeight="1" x14ac:dyDescent="0.2">
      <c r="A531" s="90" t="s">
        <v>590</v>
      </c>
      <c r="B531" s="91">
        <v>8</v>
      </c>
      <c r="C531" s="92" t="s">
        <v>594</v>
      </c>
      <c r="D531" s="92" t="s">
        <v>592</v>
      </c>
      <c r="E531" s="93"/>
      <c r="F531" s="93">
        <v>350000000</v>
      </c>
      <c r="G531" s="93"/>
      <c r="H531" s="104" t="s">
        <v>85</v>
      </c>
      <c r="I531" s="76" t="s">
        <v>601</v>
      </c>
      <c r="J531" s="104">
        <v>11</v>
      </c>
      <c r="K531" s="124">
        <v>11</v>
      </c>
      <c r="L531" s="124">
        <v>1</v>
      </c>
      <c r="M531" s="91">
        <v>1</v>
      </c>
      <c r="N531" s="98" t="s">
        <v>87</v>
      </c>
      <c r="O531" s="99" t="s">
        <v>88</v>
      </c>
      <c r="P531" s="100">
        <f t="shared" si="133"/>
        <v>1</v>
      </c>
      <c r="Q531" s="101">
        <f t="shared" si="134"/>
        <v>350000000</v>
      </c>
      <c r="R531" s="101">
        <f t="shared" si="135"/>
        <v>350000000</v>
      </c>
      <c r="S531" s="102" t="s">
        <v>56</v>
      </c>
      <c r="T531" s="98">
        <f t="shared" si="136"/>
        <v>0</v>
      </c>
      <c r="U531" s="27" t="str">
        <f t="shared" si="137"/>
        <v>SUBDIRECCION DE GESTION CONTRACTUAL</v>
      </c>
      <c r="V531" s="91" t="str">
        <f t="shared" si="138"/>
        <v>CO-DC</v>
      </c>
      <c r="W531" s="27" t="str">
        <f t="shared" si="139"/>
        <v>Distrito Capital de Bogotá</v>
      </c>
      <c r="X531" s="27" t="s">
        <v>89</v>
      </c>
      <c r="Y531" s="91">
        <v>2427400</v>
      </c>
      <c r="Z531" s="174" t="s">
        <v>90</v>
      </c>
    </row>
    <row r="532" spans="1:26" s="61" customFormat="1" ht="13.9" hidden="1" customHeight="1" x14ac:dyDescent="0.2">
      <c r="A532" s="90" t="s">
        <v>590</v>
      </c>
      <c r="B532" s="91">
        <v>9</v>
      </c>
      <c r="C532" s="92" t="s">
        <v>594</v>
      </c>
      <c r="D532" s="92" t="s">
        <v>592</v>
      </c>
      <c r="E532" s="93"/>
      <c r="F532" s="93">
        <f>1600000000-302232798-93198164</f>
        <v>1204569038</v>
      </c>
      <c r="G532" s="93"/>
      <c r="H532" s="94" t="s">
        <v>498</v>
      </c>
      <c r="I532" s="76" t="s">
        <v>602</v>
      </c>
      <c r="J532" s="124">
        <v>3</v>
      </c>
      <c r="K532" s="124">
        <v>3</v>
      </c>
      <c r="L532" s="124">
        <v>6</v>
      </c>
      <c r="M532" s="91">
        <f t="shared" ref="M532:M555" si="140">IF(ISBLANK(J532),"",1)</f>
        <v>1</v>
      </c>
      <c r="N532" s="98" t="s">
        <v>87</v>
      </c>
      <c r="O532" s="99" t="s">
        <v>88</v>
      </c>
      <c r="P532" s="100">
        <f t="shared" si="133"/>
        <v>1</v>
      </c>
      <c r="Q532" s="101">
        <f t="shared" si="134"/>
        <v>1204569038</v>
      </c>
      <c r="R532" s="101">
        <f t="shared" si="135"/>
        <v>1204569038</v>
      </c>
      <c r="S532" s="102" t="s">
        <v>56</v>
      </c>
      <c r="T532" s="98">
        <f t="shared" si="136"/>
        <v>0</v>
      </c>
      <c r="U532" s="27" t="str">
        <f t="shared" si="137"/>
        <v>SUBDIRECCION DE GESTION CONTRACTUAL</v>
      </c>
      <c r="V532" s="91" t="str">
        <f t="shared" si="138"/>
        <v>CO-DC</v>
      </c>
      <c r="W532" s="27" t="str">
        <f t="shared" si="139"/>
        <v>Distrito Capital de Bogotá</v>
      </c>
      <c r="X532" s="103" t="s">
        <v>121</v>
      </c>
      <c r="Y532" s="91">
        <v>2427400</v>
      </c>
      <c r="Z532" s="105" t="s">
        <v>122</v>
      </c>
    </row>
    <row r="533" spans="1:26" s="61" customFormat="1" ht="13.9" hidden="1" customHeight="1" x14ac:dyDescent="0.2">
      <c r="A533" s="90" t="s">
        <v>590</v>
      </c>
      <c r="B533" s="91">
        <v>10</v>
      </c>
      <c r="C533" s="92" t="s">
        <v>594</v>
      </c>
      <c r="D533" s="92" t="s">
        <v>592</v>
      </c>
      <c r="E533" s="93"/>
      <c r="F533" s="93">
        <f>700000000-700000000</f>
        <v>0</v>
      </c>
      <c r="G533" s="93"/>
      <c r="H533" s="94" t="s">
        <v>603</v>
      </c>
      <c r="I533" s="76" t="s">
        <v>604</v>
      </c>
      <c r="J533" s="124">
        <v>5</v>
      </c>
      <c r="K533" s="124">
        <v>8</v>
      </c>
      <c r="L533" s="124">
        <v>4</v>
      </c>
      <c r="M533" s="91">
        <f t="shared" si="140"/>
        <v>1</v>
      </c>
      <c r="N533" s="98" t="s">
        <v>605</v>
      </c>
      <c r="O533" s="99" t="s">
        <v>606</v>
      </c>
      <c r="P533" s="100">
        <f t="shared" si="133"/>
        <v>1</v>
      </c>
      <c r="Q533" s="101">
        <f t="shared" si="134"/>
        <v>0</v>
      </c>
      <c r="R533" s="101">
        <f t="shared" si="135"/>
        <v>0</v>
      </c>
      <c r="S533" s="102" t="s">
        <v>56</v>
      </c>
      <c r="T533" s="98">
        <f t="shared" si="136"/>
        <v>0</v>
      </c>
      <c r="U533" s="27" t="str">
        <f t="shared" si="137"/>
        <v>SUBDIRECCION DE GESTION CONTRACTUAL</v>
      </c>
      <c r="V533" s="91" t="str">
        <f t="shared" si="138"/>
        <v>CO-DC</v>
      </c>
      <c r="W533" s="27" t="str">
        <f t="shared" si="139"/>
        <v>Distrito Capital de Bogotá</v>
      </c>
      <c r="X533" s="103" t="s">
        <v>121</v>
      </c>
      <c r="Y533" s="91">
        <v>2427400</v>
      </c>
      <c r="Z533" s="105" t="s">
        <v>122</v>
      </c>
    </row>
    <row r="534" spans="1:26" s="61" customFormat="1" ht="13.9" hidden="1" customHeight="1" x14ac:dyDescent="0.2">
      <c r="A534" s="90" t="s">
        <v>590</v>
      </c>
      <c r="B534" s="91">
        <v>11</v>
      </c>
      <c r="C534" s="92" t="s">
        <v>594</v>
      </c>
      <c r="D534" s="92" t="s">
        <v>592</v>
      </c>
      <c r="E534" s="93"/>
      <c r="F534" s="93">
        <f>150000000-150000000</f>
        <v>0</v>
      </c>
      <c r="G534" s="93"/>
      <c r="H534" s="94" t="s">
        <v>607</v>
      </c>
      <c r="I534" s="76" t="s">
        <v>608</v>
      </c>
      <c r="J534" s="124">
        <v>5</v>
      </c>
      <c r="K534" s="124">
        <v>8</v>
      </c>
      <c r="L534" s="124">
        <v>4</v>
      </c>
      <c r="M534" s="91">
        <f t="shared" si="140"/>
        <v>1</v>
      </c>
      <c r="N534" s="98" t="s">
        <v>605</v>
      </c>
      <c r="O534" s="99" t="s">
        <v>606</v>
      </c>
      <c r="P534" s="100">
        <f t="shared" si="133"/>
        <v>1</v>
      </c>
      <c r="Q534" s="101">
        <f t="shared" si="134"/>
        <v>0</v>
      </c>
      <c r="R534" s="101">
        <f t="shared" si="135"/>
        <v>0</v>
      </c>
      <c r="S534" s="102" t="s">
        <v>56</v>
      </c>
      <c r="T534" s="98">
        <f t="shared" si="136"/>
        <v>0</v>
      </c>
      <c r="U534" s="27" t="str">
        <f t="shared" si="137"/>
        <v>SUBDIRECCION DE GESTION CONTRACTUAL</v>
      </c>
      <c r="V534" s="91" t="str">
        <f t="shared" si="138"/>
        <v>CO-DC</v>
      </c>
      <c r="W534" s="27" t="str">
        <f t="shared" si="139"/>
        <v>Distrito Capital de Bogotá</v>
      </c>
      <c r="X534" s="103" t="s">
        <v>121</v>
      </c>
      <c r="Y534" s="91">
        <v>2427400</v>
      </c>
      <c r="Z534" s="105" t="s">
        <v>122</v>
      </c>
    </row>
    <row r="535" spans="1:26" s="61" customFormat="1" ht="13.9" hidden="1" customHeight="1" x14ac:dyDescent="0.2">
      <c r="A535" s="90" t="s">
        <v>590</v>
      </c>
      <c r="B535" s="91">
        <v>12</v>
      </c>
      <c r="C535" s="92" t="s">
        <v>609</v>
      </c>
      <c r="D535" s="92" t="s">
        <v>610</v>
      </c>
      <c r="E535" s="93"/>
      <c r="F535" s="93">
        <f>1748500000-2500000</f>
        <v>1746000000</v>
      </c>
      <c r="G535" s="93"/>
      <c r="H535" s="94">
        <v>80111600</v>
      </c>
      <c r="I535" s="76" t="s">
        <v>611</v>
      </c>
      <c r="J535" s="124">
        <v>1</v>
      </c>
      <c r="K535" s="124">
        <v>1</v>
      </c>
      <c r="L535" s="124">
        <v>12</v>
      </c>
      <c r="M535" s="91">
        <f t="shared" si="140"/>
        <v>1</v>
      </c>
      <c r="N535" s="98" t="s">
        <v>54</v>
      </c>
      <c r="O535" s="99" t="s">
        <v>55</v>
      </c>
      <c r="P535" s="100">
        <f t="shared" si="133"/>
        <v>1</v>
      </c>
      <c r="Q535" s="101">
        <f t="shared" si="134"/>
        <v>1746000000</v>
      </c>
      <c r="R535" s="101">
        <f t="shared" si="135"/>
        <v>1746000000</v>
      </c>
      <c r="S535" s="102" t="s">
        <v>56</v>
      </c>
      <c r="T535" s="98">
        <f t="shared" si="136"/>
        <v>0</v>
      </c>
      <c r="U535" s="27" t="str">
        <f t="shared" si="137"/>
        <v>SUBDIRECCION DE GESTION CONTRACTUAL</v>
      </c>
      <c r="V535" s="91" t="str">
        <f t="shared" si="138"/>
        <v>CO-DC</v>
      </c>
      <c r="W535" s="27" t="str">
        <f t="shared" si="139"/>
        <v>Distrito Capital de Bogotá</v>
      </c>
      <c r="X535" s="103" t="s">
        <v>121</v>
      </c>
      <c r="Y535" s="91">
        <v>2427400</v>
      </c>
      <c r="Z535" s="105" t="s">
        <v>122</v>
      </c>
    </row>
    <row r="536" spans="1:26" s="61" customFormat="1" ht="13.9" hidden="1" customHeight="1" x14ac:dyDescent="0.2">
      <c r="A536" s="90" t="s">
        <v>590</v>
      </c>
      <c r="B536" s="91">
        <v>13</v>
      </c>
      <c r="C536" s="92" t="s">
        <v>609</v>
      </c>
      <c r="D536" s="92" t="s">
        <v>610</v>
      </c>
      <c r="E536" s="93"/>
      <c r="F536" s="93">
        <v>196000000</v>
      </c>
      <c r="G536" s="93"/>
      <c r="H536" s="94" t="s">
        <v>91</v>
      </c>
      <c r="I536" s="134" t="s">
        <v>612</v>
      </c>
      <c r="J536" s="104">
        <v>11</v>
      </c>
      <c r="K536" s="104">
        <v>11</v>
      </c>
      <c r="L536" s="124">
        <v>2</v>
      </c>
      <c r="M536" s="91">
        <f t="shared" si="140"/>
        <v>1</v>
      </c>
      <c r="N536" s="98" t="s">
        <v>87</v>
      </c>
      <c r="O536" s="99" t="s">
        <v>88</v>
      </c>
      <c r="P536" s="100">
        <f t="shared" si="133"/>
        <v>1</v>
      </c>
      <c r="Q536" s="101">
        <f t="shared" si="134"/>
        <v>196000000</v>
      </c>
      <c r="R536" s="101">
        <f t="shared" si="135"/>
        <v>196000000</v>
      </c>
      <c r="S536" s="102" t="s">
        <v>56</v>
      </c>
      <c r="T536" s="98">
        <f t="shared" si="136"/>
        <v>0</v>
      </c>
      <c r="U536" s="27" t="str">
        <f t="shared" si="137"/>
        <v>SUBDIRECCION DE GESTION CONTRACTUAL</v>
      </c>
      <c r="V536" s="91" t="str">
        <f t="shared" si="138"/>
        <v>CO-DC</v>
      </c>
      <c r="W536" s="27" t="str">
        <f t="shared" si="139"/>
        <v>Distrito Capital de Bogotá</v>
      </c>
      <c r="X536" s="27" t="s">
        <v>89</v>
      </c>
      <c r="Y536" s="91">
        <v>2427400</v>
      </c>
      <c r="Z536" s="105" t="s">
        <v>90</v>
      </c>
    </row>
    <row r="537" spans="1:26" s="61" customFormat="1" ht="13.9" hidden="1" customHeight="1" x14ac:dyDescent="0.25">
      <c r="A537" s="90" t="s">
        <v>590</v>
      </c>
      <c r="B537" s="91">
        <v>14</v>
      </c>
      <c r="C537" s="92" t="s">
        <v>609</v>
      </c>
      <c r="D537" s="92" t="s">
        <v>610</v>
      </c>
      <c r="E537" s="93"/>
      <c r="F537" s="93">
        <f>55500000+2500000</f>
        <v>58000000</v>
      </c>
      <c r="G537" s="93"/>
      <c r="H537" s="94" t="s">
        <v>613</v>
      </c>
      <c r="I537" s="141" t="s">
        <v>614</v>
      </c>
      <c r="J537" s="124">
        <v>3</v>
      </c>
      <c r="K537" s="124">
        <v>4</v>
      </c>
      <c r="L537" s="124">
        <v>8</v>
      </c>
      <c r="M537" s="91">
        <f t="shared" si="140"/>
        <v>1</v>
      </c>
      <c r="N537" s="98" t="s">
        <v>100</v>
      </c>
      <c r="O537" s="99" t="s">
        <v>101</v>
      </c>
      <c r="P537" s="100">
        <f t="shared" si="133"/>
        <v>1</v>
      </c>
      <c r="Q537" s="101">
        <f t="shared" si="134"/>
        <v>58000000</v>
      </c>
      <c r="R537" s="101">
        <f t="shared" si="135"/>
        <v>58000000</v>
      </c>
      <c r="S537" s="102" t="s">
        <v>56</v>
      </c>
      <c r="T537" s="98">
        <f t="shared" si="136"/>
        <v>0</v>
      </c>
      <c r="U537" s="27" t="str">
        <f t="shared" si="137"/>
        <v>SUBDIRECCION DE GESTION CONTRACTUAL</v>
      </c>
      <c r="V537" s="91" t="str">
        <f t="shared" si="138"/>
        <v>CO-DC</v>
      </c>
      <c r="W537" s="27" t="str">
        <f t="shared" si="139"/>
        <v>Distrito Capital de Bogotá</v>
      </c>
      <c r="X537" s="103" t="s">
        <v>502</v>
      </c>
      <c r="Y537" s="91">
        <v>2427400</v>
      </c>
      <c r="Z537" s="85" t="s">
        <v>503</v>
      </c>
    </row>
    <row r="538" spans="1:26" s="61" customFormat="1" ht="13.9" hidden="1" customHeight="1" x14ac:dyDescent="0.2">
      <c r="A538" s="90" t="s">
        <v>590</v>
      </c>
      <c r="B538" s="91">
        <v>15</v>
      </c>
      <c r="C538" s="92" t="s">
        <v>615</v>
      </c>
      <c r="D538" s="92" t="s">
        <v>616</v>
      </c>
      <c r="E538" s="93"/>
      <c r="F538" s="93">
        <f>828166666-6461359-6000000</f>
        <v>815705307</v>
      </c>
      <c r="G538" s="93"/>
      <c r="H538" s="94">
        <v>80111600</v>
      </c>
      <c r="I538" s="76" t="s">
        <v>617</v>
      </c>
      <c r="J538" s="124">
        <v>1</v>
      </c>
      <c r="K538" s="124">
        <v>1</v>
      </c>
      <c r="L538" s="124">
        <v>12</v>
      </c>
      <c r="M538" s="91">
        <f t="shared" si="140"/>
        <v>1</v>
      </c>
      <c r="N538" s="98" t="s">
        <v>54</v>
      </c>
      <c r="O538" s="99" t="s">
        <v>55</v>
      </c>
      <c r="P538" s="100">
        <f t="shared" si="133"/>
        <v>1</v>
      </c>
      <c r="Q538" s="101">
        <f t="shared" si="134"/>
        <v>815705307</v>
      </c>
      <c r="R538" s="101">
        <f t="shared" si="135"/>
        <v>815705307</v>
      </c>
      <c r="S538" s="102" t="s">
        <v>56</v>
      </c>
      <c r="T538" s="98">
        <f t="shared" si="136"/>
        <v>0</v>
      </c>
      <c r="U538" s="27" t="str">
        <f t="shared" si="137"/>
        <v>SUBDIRECCION DE GESTION CONTRACTUAL</v>
      </c>
      <c r="V538" s="91" t="str">
        <f t="shared" si="138"/>
        <v>CO-DC</v>
      </c>
      <c r="W538" s="27" t="str">
        <f t="shared" si="139"/>
        <v>Distrito Capital de Bogotá</v>
      </c>
      <c r="X538" s="27" t="s">
        <v>89</v>
      </c>
      <c r="Y538" s="91">
        <v>2427400</v>
      </c>
      <c r="Z538" s="174" t="s">
        <v>90</v>
      </c>
    </row>
    <row r="539" spans="1:26" s="61" customFormat="1" ht="13.9" hidden="1" customHeight="1" x14ac:dyDescent="0.2">
      <c r="A539" s="90" t="s">
        <v>590</v>
      </c>
      <c r="B539" s="91">
        <v>16</v>
      </c>
      <c r="C539" s="92" t="s">
        <v>615</v>
      </c>
      <c r="D539" s="92" t="s">
        <v>616</v>
      </c>
      <c r="E539" s="93"/>
      <c r="F539" s="93">
        <v>80000000</v>
      </c>
      <c r="G539" s="93"/>
      <c r="H539" s="94" t="s">
        <v>67</v>
      </c>
      <c r="I539" s="76" t="s">
        <v>618</v>
      </c>
      <c r="J539" s="124">
        <v>2</v>
      </c>
      <c r="K539" s="124">
        <v>3</v>
      </c>
      <c r="L539" s="124">
        <v>9</v>
      </c>
      <c r="M539" s="91">
        <f t="shared" si="140"/>
        <v>1</v>
      </c>
      <c r="N539" s="98" t="s">
        <v>69</v>
      </c>
      <c r="O539" s="99" t="s">
        <v>70</v>
      </c>
      <c r="P539" s="100">
        <f t="shared" si="133"/>
        <v>1</v>
      </c>
      <c r="Q539" s="101">
        <f t="shared" si="134"/>
        <v>80000000</v>
      </c>
      <c r="R539" s="101">
        <f t="shared" si="135"/>
        <v>80000000</v>
      </c>
      <c r="S539" s="102" t="s">
        <v>56</v>
      </c>
      <c r="T539" s="98">
        <f t="shared" si="136"/>
        <v>0</v>
      </c>
      <c r="U539" s="27" t="str">
        <f t="shared" si="137"/>
        <v>SUBDIRECCION DE GESTION CONTRACTUAL</v>
      </c>
      <c r="V539" s="91" t="str">
        <f t="shared" si="138"/>
        <v>CO-DC</v>
      </c>
      <c r="W539" s="27" t="str">
        <f t="shared" si="139"/>
        <v>Distrito Capital de Bogotá</v>
      </c>
      <c r="X539" s="103" t="s">
        <v>121</v>
      </c>
      <c r="Y539" s="91">
        <v>2427400</v>
      </c>
      <c r="Z539" s="105" t="s">
        <v>122</v>
      </c>
    </row>
    <row r="540" spans="1:26" s="61" customFormat="1" ht="13.9" hidden="1" customHeight="1" x14ac:dyDescent="0.2">
      <c r="A540" s="90" t="s">
        <v>590</v>
      </c>
      <c r="B540" s="91">
        <v>17</v>
      </c>
      <c r="C540" s="92" t="s">
        <v>615</v>
      </c>
      <c r="D540" s="92" t="s">
        <v>616</v>
      </c>
      <c r="E540" s="93"/>
      <c r="F540" s="93">
        <f>20000000+6461359</f>
        <v>26461359</v>
      </c>
      <c r="G540" s="93"/>
      <c r="H540" s="94" t="s">
        <v>619</v>
      </c>
      <c r="I540" s="76" t="s">
        <v>620</v>
      </c>
      <c r="J540" s="124">
        <v>8</v>
      </c>
      <c r="K540" s="124">
        <v>8</v>
      </c>
      <c r="L540" s="124">
        <v>3</v>
      </c>
      <c r="M540" s="91">
        <f t="shared" si="140"/>
        <v>1</v>
      </c>
      <c r="N540" s="98" t="s">
        <v>100</v>
      </c>
      <c r="O540" s="99" t="s">
        <v>101</v>
      </c>
      <c r="P540" s="100">
        <f t="shared" si="133"/>
        <v>1</v>
      </c>
      <c r="Q540" s="101">
        <f t="shared" si="134"/>
        <v>26461359</v>
      </c>
      <c r="R540" s="101">
        <f t="shared" si="135"/>
        <v>26461359</v>
      </c>
      <c r="S540" s="102" t="s">
        <v>56</v>
      </c>
      <c r="T540" s="98">
        <f t="shared" si="136"/>
        <v>0</v>
      </c>
      <c r="U540" s="27" t="str">
        <f t="shared" si="137"/>
        <v>SUBDIRECCION DE GESTION CONTRACTUAL</v>
      </c>
      <c r="V540" s="91" t="str">
        <f t="shared" si="138"/>
        <v>CO-DC</v>
      </c>
      <c r="W540" s="27" t="str">
        <f t="shared" si="139"/>
        <v>Distrito Capital de Bogotá</v>
      </c>
      <c r="X540" s="103" t="s">
        <v>329</v>
      </c>
      <c r="Y540" s="91">
        <v>2427400</v>
      </c>
      <c r="Z540" s="105" t="s">
        <v>330</v>
      </c>
    </row>
    <row r="541" spans="1:26" s="61" customFormat="1" ht="13.9" hidden="1" customHeight="1" x14ac:dyDescent="0.2">
      <c r="A541" s="90" t="s">
        <v>590</v>
      </c>
      <c r="B541" s="91">
        <v>18</v>
      </c>
      <c r="C541" s="92" t="s">
        <v>594</v>
      </c>
      <c r="D541" s="92" t="s">
        <v>621</v>
      </c>
      <c r="E541" s="93"/>
      <c r="F541" s="93">
        <f>8000000-2757095</f>
        <v>5242905</v>
      </c>
      <c r="G541" s="93"/>
      <c r="H541" s="94">
        <v>81112200</v>
      </c>
      <c r="I541" s="76" t="s">
        <v>622</v>
      </c>
      <c r="J541" s="124">
        <v>5</v>
      </c>
      <c r="K541" s="124">
        <v>6</v>
      </c>
      <c r="L541" s="124">
        <v>2</v>
      </c>
      <c r="M541" s="91">
        <f t="shared" si="140"/>
        <v>1</v>
      </c>
      <c r="N541" s="98" t="s">
        <v>54</v>
      </c>
      <c r="O541" s="99" t="s">
        <v>55</v>
      </c>
      <c r="P541" s="100">
        <f t="shared" si="133"/>
        <v>1</v>
      </c>
      <c r="Q541" s="101">
        <f t="shared" si="134"/>
        <v>5242905</v>
      </c>
      <c r="R541" s="101">
        <f t="shared" si="135"/>
        <v>5242905</v>
      </c>
      <c r="S541" s="102" t="s">
        <v>56</v>
      </c>
      <c r="T541" s="98">
        <f t="shared" si="136"/>
        <v>0</v>
      </c>
      <c r="U541" s="27" t="str">
        <f t="shared" si="137"/>
        <v>SUBDIRECCION DE GESTION CONTRACTUAL</v>
      </c>
      <c r="V541" s="91" t="str">
        <f t="shared" si="138"/>
        <v>CO-DC</v>
      </c>
      <c r="W541" s="27" t="str">
        <f t="shared" si="139"/>
        <v>Distrito Capital de Bogotá</v>
      </c>
      <c r="X541" s="27" t="s">
        <v>89</v>
      </c>
      <c r="Y541" s="91">
        <v>2427400</v>
      </c>
      <c r="Z541" s="105" t="s">
        <v>90</v>
      </c>
    </row>
    <row r="542" spans="1:26" s="61" customFormat="1" ht="13.9" hidden="1" customHeight="1" x14ac:dyDescent="0.2">
      <c r="A542" s="90" t="s">
        <v>590</v>
      </c>
      <c r="B542" s="91">
        <v>19</v>
      </c>
      <c r="C542" s="92" t="s">
        <v>594</v>
      </c>
      <c r="D542" s="92" t="s">
        <v>118</v>
      </c>
      <c r="E542" s="93"/>
      <c r="F542" s="93">
        <f>35000000-27212509+967360</f>
        <v>8754851</v>
      </c>
      <c r="G542" s="93"/>
      <c r="H542" s="94" t="s">
        <v>623</v>
      </c>
      <c r="I542" s="76" t="s">
        <v>624</v>
      </c>
      <c r="J542" s="124">
        <v>12</v>
      </c>
      <c r="K542" s="124">
        <v>12</v>
      </c>
      <c r="L542" s="124">
        <v>1</v>
      </c>
      <c r="M542" s="91">
        <f t="shared" si="140"/>
        <v>1</v>
      </c>
      <c r="N542" s="98" t="s">
        <v>54</v>
      </c>
      <c r="O542" s="99" t="s">
        <v>55</v>
      </c>
      <c r="P542" s="100">
        <f t="shared" si="133"/>
        <v>1</v>
      </c>
      <c r="Q542" s="101">
        <f t="shared" si="134"/>
        <v>8754851</v>
      </c>
      <c r="R542" s="101">
        <f t="shared" si="135"/>
        <v>8754851</v>
      </c>
      <c r="S542" s="102" t="s">
        <v>366</v>
      </c>
      <c r="T542" s="98">
        <f t="shared" si="136"/>
        <v>3</v>
      </c>
      <c r="U542" s="27" t="str">
        <f t="shared" si="137"/>
        <v>SUBDIRECCION DE GESTION CONTRACTUAL</v>
      </c>
      <c r="V542" s="91" t="str">
        <f t="shared" si="138"/>
        <v>CO-DC</v>
      </c>
      <c r="W542" s="27" t="str">
        <f t="shared" si="139"/>
        <v>Distrito Capital de Bogotá</v>
      </c>
      <c r="X542" s="27" t="s">
        <v>89</v>
      </c>
      <c r="Y542" s="91">
        <v>2427400</v>
      </c>
      <c r="Z542" s="105" t="s">
        <v>90</v>
      </c>
    </row>
    <row r="543" spans="1:26" s="61" customFormat="1" ht="13.9" hidden="1" customHeight="1" x14ac:dyDescent="0.2">
      <c r="A543" s="90" t="s">
        <v>590</v>
      </c>
      <c r="B543" s="91">
        <v>20</v>
      </c>
      <c r="C543" s="92" t="s">
        <v>594</v>
      </c>
      <c r="D543" s="92" t="s">
        <v>115</v>
      </c>
      <c r="E543" s="93"/>
      <c r="F543" s="93">
        <f>70000000-6515911+1791875</f>
        <v>65275964</v>
      </c>
      <c r="G543" s="93"/>
      <c r="H543" s="94" t="s">
        <v>623</v>
      </c>
      <c r="I543" s="76" t="s">
        <v>625</v>
      </c>
      <c r="J543" s="124">
        <v>11</v>
      </c>
      <c r="K543" s="124">
        <v>11</v>
      </c>
      <c r="L543" s="124">
        <v>1</v>
      </c>
      <c r="M543" s="91">
        <f t="shared" si="140"/>
        <v>1</v>
      </c>
      <c r="N543" s="98" t="s">
        <v>125</v>
      </c>
      <c r="O543" s="99" t="s">
        <v>126</v>
      </c>
      <c r="P543" s="100">
        <f t="shared" si="133"/>
        <v>1</v>
      </c>
      <c r="Q543" s="101">
        <f t="shared" si="134"/>
        <v>65275964</v>
      </c>
      <c r="R543" s="101">
        <f t="shared" si="135"/>
        <v>65275964</v>
      </c>
      <c r="S543" s="102" t="s">
        <v>366</v>
      </c>
      <c r="T543" s="98">
        <f t="shared" si="136"/>
        <v>3</v>
      </c>
      <c r="U543" s="27" t="str">
        <f t="shared" si="137"/>
        <v>SUBDIRECCION DE GESTION CONTRACTUAL</v>
      </c>
      <c r="V543" s="91" t="str">
        <f t="shared" si="138"/>
        <v>CO-DC</v>
      </c>
      <c r="W543" s="27" t="str">
        <f t="shared" si="139"/>
        <v>Distrito Capital de Bogotá</v>
      </c>
      <c r="X543" s="27" t="s">
        <v>89</v>
      </c>
      <c r="Y543" s="91">
        <v>2427400</v>
      </c>
      <c r="Z543" s="105" t="s">
        <v>90</v>
      </c>
    </row>
    <row r="544" spans="1:26" s="61" customFormat="1" ht="13.9" hidden="1" customHeight="1" x14ac:dyDescent="0.2">
      <c r="A544" s="90" t="s">
        <v>590</v>
      </c>
      <c r="B544" s="91">
        <v>21</v>
      </c>
      <c r="C544" s="92" t="s">
        <v>594</v>
      </c>
      <c r="D544" s="92" t="s">
        <v>621</v>
      </c>
      <c r="E544" s="93"/>
      <c r="F544" s="93">
        <f>104381910-1471798</f>
        <v>102910112</v>
      </c>
      <c r="G544" s="93"/>
      <c r="H544" s="94" t="s">
        <v>131</v>
      </c>
      <c r="I544" s="76" t="s">
        <v>626</v>
      </c>
      <c r="J544" s="124">
        <v>1</v>
      </c>
      <c r="K544" s="124">
        <v>1</v>
      </c>
      <c r="L544" s="124">
        <v>10</v>
      </c>
      <c r="M544" s="91">
        <f t="shared" si="140"/>
        <v>1</v>
      </c>
      <c r="N544" s="98" t="s">
        <v>64</v>
      </c>
      <c r="O544" s="99" t="s">
        <v>65</v>
      </c>
      <c r="P544" s="100">
        <f t="shared" si="133"/>
        <v>1</v>
      </c>
      <c r="Q544" s="101">
        <f t="shared" si="134"/>
        <v>102910112</v>
      </c>
      <c r="R544" s="101">
        <f t="shared" si="135"/>
        <v>102910112</v>
      </c>
      <c r="S544" s="102" t="s">
        <v>56</v>
      </c>
      <c r="T544" s="98">
        <f t="shared" si="136"/>
        <v>0</v>
      </c>
      <c r="U544" s="27" t="str">
        <f t="shared" si="137"/>
        <v>SUBDIRECCION DE GESTION CONTRACTUAL</v>
      </c>
      <c r="V544" s="91" t="str">
        <f t="shared" si="138"/>
        <v>CO-DC</v>
      </c>
      <c r="W544" s="27" t="str">
        <f t="shared" si="139"/>
        <v>Distrito Capital de Bogotá</v>
      </c>
      <c r="X544" s="27" t="s">
        <v>89</v>
      </c>
      <c r="Y544" s="91">
        <v>2427400</v>
      </c>
      <c r="Z544" s="105" t="s">
        <v>90</v>
      </c>
    </row>
    <row r="545" spans="1:26" s="61" customFormat="1" ht="13.9" hidden="1" customHeight="1" x14ac:dyDescent="0.2">
      <c r="A545" s="90" t="s">
        <v>590</v>
      </c>
      <c r="B545" s="91">
        <v>22</v>
      </c>
      <c r="C545" s="92" t="s">
        <v>594</v>
      </c>
      <c r="D545" s="92" t="s">
        <v>621</v>
      </c>
      <c r="E545" s="93"/>
      <c r="F545" s="93">
        <f>25000000-1580800</f>
        <v>23419200</v>
      </c>
      <c r="G545" s="93"/>
      <c r="H545" s="94">
        <v>81111805</v>
      </c>
      <c r="I545" s="76" t="s">
        <v>627</v>
      </c>
      <c r="J545" s="124">
        <v>1</v>
      </c>
      <c r="K545" s="124">
        <v>1</v>
      </c>
      <c r="L545" s="124">
        <v>10</v>
      </c>
      <c r="M545" s="91">
        <f t="shared" si="140"/>
        <v>1</v>
      </c>
      <c r="N545" s="98" t="s">
        <v>64</v>
      </c>
      <c r="O545" s="99" t="s">
        <v>65</v>
      </c>
      <c r="P545" s="100">
        <f t="shared" si="133"/>
        <v>1</v>
      </c>
      <c r="Q545" s="101">
        <f t="shared" si="134"/>
        <v>23419200</v>
      </c>
      <c r="R545" s="101">
        <f t="shared" si="135"/>
        <v>23419200</v>
      </c>
      <c r="S545" s="102" t="s">
        <v>56</v>
      </c>
      <c r="T545" s="98">
        <f t="shared" si="136"/>
        <v>0</v>
      </c>
      <c r="U545" s="27" t="str">
        <f t="shared" si="137"/>
        <v>SUBDIRECCION DE GESTION CONTRACTUAL</v>
      </c>
      <c r="V545" s="91" t="str">
        <f t="shared" si="138"/>
        <v>CO-DC</v>
      </c>
      <c r="W545" s="27" t="str">
        <f t="shared" si="139"/>
        <v>Distrito Capital de Bogotá</v>
      </c>
      <c r="X545" s="27" t="s">
        <v>89</v>
      </c>
      <c r="Y545" s="91">
        <v>2427400</v>
      </c>
      <c r="Z545" s="105" t="s">
        <v>90</v>
      </c>
    </row>
    <row r="546" spans="1:26" s="61" customFormat="1" ht="13.9" hidden="1" customHeight="1" x14ac:dyDescent="0.2">
      <c r="A546" s="90" t="s">
        <v>590</v>
      </c>
      <c r="B546" s="91">
        <v>23</v>
      </c>
      <c r="C546" s="92" t="s">
        <v>594</v>
      </c>
      <c r="D546" s="92" t="s">
        <v>118</v>
      </c>
      <c r="E546" s="93"/>
      <c r="F546" s="93">
        <v>86393971</v>
      </c>
      <c r="G546" s="93"/>
      <c r="H546" s="94" t="s">
        <v>623</v>
      </c>
      <c r="I546" s="76" t="s">
        <v>628</v>
      </c>
      <c r="J546" s="124">
        <v>1</v>
      </c>
      <c r="K546" s="124">
        <v>1</v>
      </c>
      <c r="L546" s="124">
        <v>11</v>
      </c>
      <c r="M546" s="91">
        <f t="shared" si="140"/>
        <v>1</v>
      </c>
      <c r="N546" s="98" t="s">
        <v>87</v>
      </c>
      <c r="O546" s="99" t="s">
        <v>88</v>
      </c>
      <c r="P546" s="100">
        <f t="shared" si="133"/>
        <v>1</v>
      </c>
      <c r="Q546" s="101">
        <f t="shared" si="134"/>
        <v>86393971</v>
      </c>
      <c r="R546" s="101">
        <f t="shared" si="135"/>
        <v>86393971</v>
      </c>
      <c r="S546" s="102" t="s">
        <v>56</v>
      </c>
      <c r="T546" s="98">
        <f t="shared" si="136"/>
        <v>0</v>
      </c>
      <c r="U546" s="27" t="str">
        <f t="shared" si="137"/>
        <v>SUBDIRECCION DE GESTION CONTRACTUAL</v>
      </c>
      <c r="V546" s="91" t="str">
        <f t="shared" si="138"/>
        <v>CO-DC</v>
      </c>
      <c r="W546" s="27" t="str">
        <f t="shared" si="139"/>
        <v>Distrito Capital de Bogotá</v>
      </c>
      <c r="X546" s="103" t="s">
        <v>121</v>
      </c>
      <c r="Y546" s="91">
        <v>2427400</v>
      </c>
      <c r="Z546" s="105" t="s">
        <v>122</v>
      </c>
    </row>
    <row r="547" spans="1:26" s="61" customFormat="1" ht="13.9" hidden="1" customHeight="1" x14ac:dyDescent="0.2">
      <c r="A547" s="90" t="s">
        <v>590</v>
      </c>
      <c r="B547" s="91">
        <v>24</v>
      </c>
      <c r="C547" s="92" t="s">
        <v>594</v>
      </c>
      <c r="D547" s="92" t="s">
        <v>133</v>
      </c>
      <c r="E547" s="93"/>
      <c r="F547" s="93">
        <f>52127289+6515911-1791875</f>
        <v>56851325</v>
      </c>
      <c r="G547" s="93"/>
      <c r="H547" s="94" t="s">
        <v>623</v>
      </c>
      <c r="I547" s="76" t="s">
        <v>629</v>
      </c>
      <c r="J547" s="124">
        <v>1</v>
      </c>
      <c r="K547" s="124">
        <v>1</v>
      </c>
      <c r="L547" s="124">
        <v>11</v>
      </c>
      <c r="M547" s="91">
        <f t="shared" si="140"/>
        <v>1</v>
      </c>
      <c r="N547" s="98" t="s">
        <v>87</v>
      </c>
      <c r="O547" s="99" t="s">
        <v>88</v>
      </c>
      <c r="P547" s="100">
        <f t="shared" si="133"/>
        <v>1</v>
      </c>
      <c r="Q547" s="101">
        <f t="shared" si="134"/>
        <v>56851325</v>
      </c>
      <c r="R547" s="101">
        <f t="shared" si="135"/>
        <v>56851325</v>
      </c>
      <c r="S547" s="102" t="s">
        <v>56</v>
      </c>
      <c r="T547" s="98">
        <f t="shared" si="136"/>
        <v>0</v>
      </c>
      <c r="U547" s="27" t="str">
        <f t="shared" si="137"/>
        <v>SUBDIRECCION DE GESTION CONTRACTUAL</v>
      </c>
      <c r="V547" s="91" t="str">
        <f t="shared" si="138"/>
        <v>CO-DC</v>
      </c>
      <c r="W547" s="27" t="str">
        <f t="shared" si="139"/>
        <v>Distrito Capital de Bogotá</v>
      </c>
      <c r="X547" s="27" t="s">
        <v>89</v>
      </c>
      <c r="Y547" s="91">
        <v>2427400</v>
      </c>
      <c r="Z547" s="105" t="s">
        <v>90</v>
      </c>
    </row>
    <row r="548" spans="1:26" s="61" customFormat="1" ht="13.9" hidden="1" customHeight="1" x14ac:dyDescent="0.2">
      <c r="A548" s="90" t="s">
        <v>590</v>
      </c>
      <c r="B548" s="91">
        <v>25</v>
      </c>
      <c r="C548" s="92" t="s">
        <v>594</v>
      </c>
      <c r="D548" s="92" t="s">
        <v>133</v>
      </c>
      <c r="E548" s="93"/>
      <c r="F548" s="93">
        <f>70000000-30000000</f>
        <v>40000000</v>
      </c>
      <c r="G548" s="93"/>
      <c r="H548" s="139" t="s">
        <v>630</v>
      </c>
      <c r="I548" s="76" t="s">
        <v>631</v>
      </c>
      <c r="J548" s="124">
        <v>8</v>
      </c>
      <c r="K548" s="124">
        <v>9</v>
      </c>
      <c r="L548" s="124">
        <v>3</v>
      </c>
      <c r="M548" s="91">
        <f t="shared" si="140"/>
        <v>1</v>
      </c>
      <c r="N548" s="98" t="s">
        <v>100</v>
      </c>
      <c r="O548" s="99" t="s">
        <v>101</v>
      </c>
      <c r="P548" s="100">
        <f t="shared" si="133"/>
        <v>1</v>
      </c>
      <c r="Q548" s="101">
        <f t="shared" si="134"/>
        <v>40000000</v>
      </c>
      <c r="R548" s="101">
        <f t="shared" si="135"/>
        <v>40000000</v>
      </c>
      <c r="S548" s="102" t="s">
        <v>56</v>
      </c>
      <c r="T548" s="98">
        <f t="shared" si="136"/>
        <v>0</v>
      </c>
      <c r="U548" s="27" t="str">
        <f t="shared" si="137"/>
        <v>SUBDIRECCION DE GESTION CONTRACTUAL</v>
      </c>
      <c r="V548" s="91" t="str">
        <f t="shared" si="138"/>
        <v>CO-DC</v>
      </c>
      <c r="W548" s="27" t="str">
        <f t="shared" si="139"/>
        <v>Distrito Capital de Bogotá</v>
      </c>
      <c r="X548" s="103" t="s">
        <v>329</v>
      </c>
      <c r="Y548" s="91">
        <v>2427400</v>
      </c>
      <c r="Z548" s="105" t="s">
        <v>330</v>
      </c>
    </row>
    <row r="549" spans="1:26" s="61" customFormat="1" ht="13.9" hidden="1" customHeight="1" x14ac:dyDescent="0.2">
      <c r="A549" s="90" t="s">
        <v>590</v>
      </c>
      <c r="B549" s="91">
        <v>26</v>
      </c>
      <c r="C549" s="92" t="s">
        <v>609</v>
      </c>
      <c r="D549" s="92" t="s">
        <v>632</v>
      </c>
      <c r="E549" s="93"/>
      <c r="F549" s="93">
        <f>70669974+105357767</f>
        <v>176027741</v>
      </c>
      <c r="G549" s="93"/>
      <c r="H549" s="94" t="s">
        <v>59</v>
      </c>
      <c r="I549" s="76" t="s">
        <v>633</v>
      </c>
      <c r="J549" s="95">
        <v>3</v>
      </c>
      <c r="K549" s="96">
        <v>4</v>
      </c>
      <c r="L549" s="97">
        <v>9</v>
      </c>
      <c r="M549" s="91">
        <f t="shared" si="140"/>
        <v>1</v>
      </c>
      <c r="N549" s="98" t="s">
        <v>61</v>
      </c>
      <c r="O549" s="99" t="s">
        <v>62</v>
      </c>
      <c r="P549" s="100">
        <f t="shared" si="133"/>
        <v>1</v>
      </c>
      <c r="Q549" s="101">
        <f t="shared" si="134"/>
        <v>176027741</v>
      </c>
      <c r="R549" s="101">
        <f t="shared" si="135"/>
        <v>176027741</v>
      </c>
      <c r="S549" s="102" t="s">
        <v>56</v>
      </c>
      <c r="T549" s="98">
        <f t="shared" si="136"/>
        <v>0</v>
      </c>
      <c r="U549" s="27" t="str">
        <f t="shared" si="137"/>
        <v>SUBDIRECCION DE GESTION CONTRACTUAL</v>
      </c>
      <c r="V549" s="91" t="str">
        <f t="shared" si="138"/>
        <v>CO-DC</v>
      </c>
      <c r="W549" s="27" t="str">
        <f t="shared" si="139"/>
        <v>Distrito Capital de Bogotá</v>
      </c>
      <c r="X549" s="103" t="s">
        <v>121</v>
      </c>
      <c r="Y549" s="91">
        <v>2427400</v>
      </c>
      <c r="Z549" s="105" t="s">
        <v>122</v>
      </c>
    </row>
    <row r="550" spans="1:26" s="61" customFormat="1" ht="13.9" hidden="1" customHeight="1" x14ac:dyDescent="0.2">
      <c r="A550" s="90" t="s">
        <v>590</v>
      </c>
      <c r="B550" s="91">
        <v>27</v>
      </c>
      <c r="C550" s="92" t="s">
        <v>594</v>
      </c>
      <c r="D550" s="92" t="s">
        <v>592</v>
      </c>
      <c r="E550" s="93"/>
      <c r="F550" s="93">
        <f>200000000-8080587</f>
        <v>191919413</v>
      </c>
      <c r="G550" s="93"/>
      <c r="H550" s="94" t="s">
        <v>634</v>
      </c>
      <c r="I550" s="76" t="s">
        <v>635</v>
      </c>
      <c r="J550" s="95">
        <v>4</v>
      </c>
      <c r="K550" s="96">
        <v>4</v>
      </c>
      <c r="L550" s="97">
        <v>2</v>
      </c>
      <c r="M550" s="91">
        <f t="shared" si="140"/>
        <v>1</v>
      </c>
      <c r="N550" s="98" t="s">
        <v>125</v>
      </c>
      <c r="O550" s="99" t="s">
        <v>126</v>
      </c>
      <c r="P550" s="100">
        <f t="shared" si="133"/>
        <v>1</v>
      </c>
      <c r="Q550" s="101">
        <f t="shared" si="134"/>
        <v>191919413</v>
      </c>
      <c r="R550" s="101">
        <f t="shared" si="135"/>
        <v>191919413</v>
      </c>
      <c r="S550" s="102" t="s">
        <v>56</v>
      </c>
      <c r="T550" s="98">
        <f t="shared" si="136"/>
        <v>0</v>
      </c>
      <c r="U550" s="27" t="str">
        <f t="shared" si="137"/>
        <v>SUBDIRECCION DE GESTION CONTRACTUAL</v>
      </c>
      <c r="V550" s="91" t="str">
        <f t="shared" si="138"/>
        <v>CO-DC</v>
      </c>
      <c r="W550" s="27" t="str">
        <f t="shared" si="139"/>
        <v>Distrito Capital de Bogotá</v>
      </c>
      <c r="X550" s="103" t="s">
        <v>502</v>
      </c>
      <c r="Y550" s="91">
        <v>2427400</v>
      </c>
      <c r="Z550" s="105" t="s">
        <v>503</v>
      </c>
    </row>
    <row r="551" spans="1:26" s="61" customFormat="1" ht="13.9" hidden="1" customHeight="1" x14ac:dyDescent="0.2">
      <c r="A551" s="90" t="s">
        <v>590</v>
      </c>
      <c r="B551" s="91">
        <v>28</v>
      </c>
      <c r="C551" s="92" t="s">
        <v>591</v>
      </c>
      <c r="D551" s="92" t="s">
        <v>592</v>
      </c>
      <c r="E551" s="93"/>
      <c r="F551" s="93">
        <v>1000000000</v>
      </c>
      <c r="G551" s="93"/>
      <c r="H551" s="104" t="s">
        <v>85</v>
      </c>
      <c r="I551" s="76" t="s">
        <v>601</v>
      </c>
      <c r="J551" s="104">
        <v>11</v>
      </c>
      <c r="K551" s="95">
        <v>11</v>
      </c>
      <c r="L551" s="97">
        <v>1</v>
      </c>
      <c r="M551" s="91">
        <f t="shared" si="140"/>
        <v>1</v>
      </c>
      <c r="N551" s="98" t="s">
        <v>87</v>
      </c>
      <c r="O551" s="99" t="s">
        <v>88</v>
      </c>
      <c r="P551" s="100">
        <v>1</v>
      </c>
      <c r="Q551" s="101">
        <f t="shared" si="134"/>
        <v>1000000000</v>
      </c>
      <c r="R551" s="101">
        <f t="shared" si="135"/>
        <v>1000000000</v>
      </c>
      <c r="S551" s="102" t="s">
        <v>56</v>
      </c>
      <c r="T551" s="98">
        <f t="shared" si="136"/>
        <v>0</v>
      </c>
      <c r="U551" s="27" t="str">
        <f t="shared" si="137"/>
        <v>SUBDIRECCION DE GESTION CONTRACTUAL</v>
      </c>
      <c r="V551" s="91" t="str">
        <f t="shared" si="138"/>
        <v>CO-DC</v>
      </c>
      <c r="W551" s="27" t="str">
        <f t="shared" si="139"/>
        <v>Distrito Capital de Bogotá</v>
      </c>
      <c r="X551" s="27" t="s">
        <v>89</v>
      </c>
      <c r="Y551" s="91">
        <v>2427400</v>
      </c>
      <c r="Z551" s="174" t="s">
        <v>90</v>
      </c>
    </row>
    <row r="552" spans="1:26" s="61" customFormat="1" ht="13.9" hidden="1" customHeight="1" x14ac:dyDescent="0.2">
      <c r="A552" s="90" t="s">
        <v>590</v>
      </c>
      <c r="B552" s="91">
        <v>29</v>
      </c>
      <c r="C552" s="92" t="s">
        <v>594</v>
      </c>
      <c r="D552" s="92" t="s">
        <v>133</v>
      </c>
      <c r="E552" s="93"/>
      <c r="F552" s="93">
        <f>30000000-7960000</f>
        <v>22040000</v>
      </c>
      <c r="G552" s="93"/>
      <c r="H552" s="94" t="s">
        <v>636</v>
      </c>
      <c r="I552" s="76" t="s">
        <v>637</v>
      </c>
      <c r="J552" s="95">
        <v>4</v>
      </c>
      <c r="K552" s="96">
        <v>5</v>
      </c>
      <c r="L552" s="97">
        <v>7</v>
      </c>
      <c r="M552" s="91">
        <f t="shared" si="140"/>
        <v>1</v>
      </c>
      <c r="N552" s="98" t="s">
        <v>100</v>
      </c>
      <c r="O552" s="99" t="s">
        <v>101</v>
      </c>
      <c r="P552" s="100">
        <v>1</v>
      </c>
      <c r="Q552" s="101">
        <f t="shared" si="134"/>
        <v>22040000</v>
      </c>
      <c r="R552" s="101">
        <f t="shared" si="135"/>
        <v>22040000</v>
      </c>
      <c r="S552" s="102" t="s">
        <v>56</v>
      </c>
      <c r="T552" s="98">
        <f t="shared" si="136"/>
        <v>0</v>
      </c>
      <c r="U552" s="27" t="str">
        <f t="shared" si="137"/>
        <v>SUBDIRECCION DE GESTION CONTRACTUAL</v>
      </c>
      <c r="V552" s="91" t="str">
        <f t="shared" si="138"/>
        <v>CO-DC</v>
      </c>
      <c r="W552" s="27" t="str">
        <f t="shared" si="139"/>
        <v>Distrito Capital de Bogotá</v>
      </c>
      <c r="X552" s="103" t="s">
        <v>502</v>
      </c>
      <c r="Y552" s="91">
        <v>2427400</v>
      </c>
      <c r="Z552" s="105" t="s">
        <v>503</v>
      </c>
    </row>
    <row r="553" spans="1:26" s="61" customFormat="1" ht="13.9" hidden="1" customHeight="1" x14ac:dyDescent="0.2">
      <c r="A553" s="90" t="s">
        <v>590</v>
      </c>
      <c r="B553" s="91">
        <v>30</v>
      </c>
      <c r="C553" s="92" t="s">
        <v>594</v>
      </c>
      <c r="D553" s="92" t="s">
        <v>592</v>
      </c>
      <c r="E553" s="93"/>
      <c r="F553" s="93">
        <v>510000000</v>
      </c>
      <c r="G553" s="93"/>
      <c r="H553" s="94" t="s">
        <v>638</v>
      </c>
      <c r="I553" s="76" t="s">
        <v>639</v>
      </c>
      <c r="J553" s="95">
        <v>6</v>
      </c>
      <c r="K553" s="96" t="s">
        <v>171</v>
      </c>
      <c r="L553" s="97">
        <v>2</v>
      </c>
      <c r="M553" s="91">
        <f t="shared" si="140"/>
        <v>1</v>
      </c>
      <c r="N553" s="98" t="s">
        <v>125</v>
      </c>
      <c r="O553" s="99" t="s">
        <v>126</v>
      </c>
      <c r="P553" s="100">
        <v>1</v>
      </c>
      <c r="Q553" s="101">
        <f t="shared" si="134"/>
        <v>510000000</v>
      </c>
      <c r="R553" s="101">
        <f t="shared" si="135"/>
        <v>510000000</v>
      </c>
      <c r="S553" s="102" t="s">
        <v>56</v>
      </c>
      <c r="T553" s="98">
        <v>0</v>
      </c>
      <c r="U553" s="27" t="str">
        <f t="shared" si="137"/>
        <v>SUBDIRECCION DE GESTION CONTRACTUAL</v>
      </c>
      <c r="V553" s="91" t="str">
        <f t="shared" si="138"/>
        <v>CO-DC</v>
      </c>
      <c r="W553" s="27" t="str">
        <f t="shared" si="139"/>
        <v>Distrito Capital de Bogotá</v>
      </c>
      <c r="X553" s="103" t="s">
        <v>329</v>
      </c>
      <c r="Y553" s="91">
        <v>2427400</v>
      </c>
      <c r="Z553" s="105" t="s">
        <v>330</v>
      </c>
    </row>
    <row r="554" spans="1:26" s="61" customFormat="1" ht="13.9" hidden="1" customHeight="1" x14ac:dyDescent="0.25">
      <c r="A554" s="90" t="s">
        <v>590</v>
      </c>
      <c r="B554" s="91">
        <v>31</v>
      </c>
      <c r="C554" s="92" t="s">
        <v>594</v>
      </c>
      <c r="D554" s="92" t="s">
        <v>592</v>
      </c>
      <c r="E554" s="93"/>
      <c r="F554" s="93">
        <f>110000000+66583333</f>
        <v>176583333</v>
      </c>
      <c r="G554" s="93"/>
      <c r="H554" s="139" t="s">
        <v>640</v>
      </c>
      <c r="I554" s="76" t="s">
        <v>641</v>
      </c>
      <c r="J554" s="95">
        <v>10</v>
      </c>
      <c r="K554" s="96" t="s">
        <v>168</v>
      </c>
      <c r="L554" s="97">
        <v>1</v>
      </c>
      <c r="M554" s="91">
        <f t="shared" si="140"/>
        <v>1</v>
      </c>
      <c r="N554" s="98" t="s">
        <v>125</v>
      </c>
      <c r="O554" s="99" t="s">
        <v>126</v>
      </c>
      <c r="P554" s="100">
        <v>1</v>
      </c>
      <c r="Q554" s="101">
        <f t="shared" si="134"/>
        <v>176583333</v>
      </c>
      <c r="R554" s="101">
        <f t="shared" si="135"/>
        <v>176583333</v>
      </c>
      <c r="S554" s="102" t="s">
        <v>56</v>
      </c>
      <c r="T554" s="98">
        <v>0</v>
      </c>
      <c r="U554" s="27" t="s">
        <v>280</v>
      </c>
      <c r="V554" s="91" t="s">
        <v>207</v>
      </c>
      <c r="W554" s="27" t="s">
        <v>208</v>
      </c>
      <c r="X554" s="103" t="s">
        <v>329</v>
      </c>
      <c r="Y554" s="91">
        <v>2427400</v>
      </c>
      <c r="Z554" s="85" t="s">
        <v>330</v>
      </c>
    </row>
    <row r="555" spans="1:26" s="61" customFormat="1" ht="13.9" hidden="1" customHeight="1" x14ac:dyDescent="0.2">
      <c r="A555" s="90" t="s">
        <v>590</v>
      </c>
      <c r="B555" s="91">
        <v>32</v>
      </c>
      <c r="C555" s="92" t="s">
        <v>594</v>
      </c>
      <c r="D555" s="92" t="s">
        <v>592</v>
      </c>
      <c r="E555" s="93"/>
      <c r="F555" s="93">
        <f>766583333-66583333</f>
        <v>700000000</v>
      </c>
      <c r="G555" s="93"/>
      <c r="H555" s="104" t="s">
        <v>85</v>
      </c>
      <c r="I555" s="76" t="s">
        <v>601</v>
      </c>
      <c r="J555" s="104">
        <v>11</v>
      </c>
      <c r="K555" s="95">
        <v>11</v>
      </c>
      <c r="L555" s="97">
        <v>1</v>
      </c>
      <c r="M555" s="91">
        <f t="shared" si="140"/>
        <v>1</v>
      </c>
      <c r="N555" s="98" t="s">
        <v>87</v>
      </c>
      <c r="O555" s="99" t="s">
        <v>88</v>
      </c>
      <c r="P555" s="100">
        <v>1</v>
      </c>
      <c r="Q555" s="101">
        <f t="shared" si="134"/>
        <v>700000000</v>
      </c>
      <c r="R555" s="101">
        <f t="shared" si="135"/>
        <v>700000000</v>
      </c>
      <c r="S555" s="102" t="s">
        <v>56</v>
      </c>
      <c r="T555" s="98">
        <v>0</v>
      </c>
      <c r="U555" s="27" t="s">
        <v>280</v>
      </c>
      <c r="V555" s="91" t="s">
        <v>207</v>
      </c>
      <c r="W555" s="27" t="s">
        <v>208</v>
      </c>
      <c r="X555" s="27" t="s">
        <v>89</v>
      </c>
      <c r="Y555" s="91">
        <v>2427400</v>
      </c>
      <c r="Z555" s="174" t="s">
        <v>90</v>
      </c>
    </row>
    <row r="556" spans="1:26" s="61" customFormat="1" ht="13.5" hidden="1" customHeight="1" x14ac:dyDescent="0.2">
      <c r="A556" s="90" t="s">
        <v>590</v>
      </c>
      <c r="B556" s="91">
        <v>33</v>
      </c>
      <c r="C556" s="92" t="s">
        <v>615</v>
      </c>
      <c r="D556" s="92" t="s">
        <v>616</v>
      </c>
      <c r="E556" s="93"/>
      <c r="F556" s="93">
        <v>6000000</v>
      </c>
      <c r="G556" s="93"/>
      <c r="H556" s="139" t="s">
        <v>642</v>
      </c>
      <c r="I556" s="76" t="s">
        <v>643</v>
      </c>
      <c r="J556" s="95">
        <v>9</v>
      </c>
      <c r="K556" s="95">
        <v>9</v>
      </c>
      <c r="L556" s="97">
        <v>2</v>
      </c>
      <c r="M556" s="91">
        <v>1</v>
      </c>
      <c r="N556" s="98" t="s">
        <v>644</v>
      </c>
      <c r="O556" s="99" t="s">
        <v>645</v>
      </c>
      <c r="P556" s="100">
        <v>1</v>
      </c>
      <c r="Q556" s="101">
        <f t="shared" si="134"/>
        <v>6000000</v>
      </c>
      <c r="R556" s="101">
        <f t="shared" si="135"/>
        <v>6000000</v>
      </c>
      <c r="S556" s="102" t="s">
        <v>56</v>
      </c>
      <c r="T556" s="98">
        <v>0</v>
      </c>
      <c r="U556" s="27" t="s">
        <v>280</v>
      </c>
      <c r="V556" s="91" t="s">
        <v>207</v>
      </c>
      <c r="W556" s="27" t="s">
        <v>208</v>
      </c>
      <c r="X556" s="27" t="s">
        <v>89</v>
      </c>
      <c r="Y556" s="91">
        <v>2427400</v>
      </c>
      <c r="Z556" s="105" t="s">
        <v>90</v>
      </c>
    </row>
    <row r="557" spans="1:26" s="61" customFormat="1" ht="13.9" hidden="1" customHeight="1" x14ac:dyDescent="0.2">
      <c r="A557" s="90" t="s">
        <v>590</v>
      </c>
      <c r="B557" s="91">
        <v>34</v>
      </c>
      <c r="C557" s="92" t="s">
        <v>594</v>
      </c>
      <c r="D557" s="92" t="s">
        <v>118</v>
      </c>
      <c r="E557" s="93"/>
      <c r="F557" s="93">
        <f>27212509-967360</f>
        <v>26245149</v>
      </c>
      <c r="G557" s="93"/>
      <c r="H557" s="94" t="s">
        <v>623</v>
      </c>
      <c r="I557" s="76" t="s">
        <v>646</v>
      </c>
      <c r="J557" s="95">
        <v>10</v>
      </c>
      <c r="K557" s="95">
        <v>10</v>
      </c>
      <c r="L557" s="97">
        <v>1</v>
      </c>
      <c r="M557" s="91">
        <v>1</v>
      </c>
      <c r="N557" s="98" t="s">
        <v>100</v>
      </c>
      <c r="O557" s="99" t="s">
        <v>101</v>
      </c>
      <c r="P557" s="100">
        <v>1</v>
      </c>
      <c r="Q557" s="101">
        <f t="shared" si="134"/>
        <v>26245149</v>
      </c>
      <c r="R557" s="101">
        <f t="shared" si="135"/>
        <v>26245149</v>
      </c>
      <c r="S557" s="102" t="s">
        <v>56</v>
      </c>
      <c r="T557" s="98">
        <f>IF(ISBLANK(S557),"",IF(VALUE(S557)=0,0,IF(VALUE(S557)=1,3,"")))</f>
        <v>0</v>
      </c>
      <c r="U557" s="27" t="str">
        <f>IF(ISBLANK(N557),"","SUBDIRECCION DE GESTION CONTRACTUAL")</f>
        <v>SUBDIRECCION DE GESTION CONTRACTUAL</v>
      </c>
      <c r="V557" s="91" t="str">
        <f>IF(ISBLANK(N557),"","CO-DC")</f>
        <v>CO-DC</v>
      </c>
      <c r="W557" s="27" t="str">
        <f>IF(ISBLANK(N557),"","Distrito Capital de Bogotá")</f>
        <v>Distrito Capital de Bogotá</v>
      </c>
      <c r="X557" s="27" t="s">
        <v>89</v>
      </c>
      <c r="Y557" s="91">
        <v>2427400</v>
      </c>
      <c r="Z557" s="105" t="s">
        <v>90</v>
      </c>
    </row>
    <row r="558" spans="1:26" s="61" customFormat="1" ht="13.9" hidden="1" customHeight="1" x14ac:dyDescent="0.25">
      <c r="A558" s="91" t="s">
        <v>590</v>
      </c>
      <c r="B558" s="91">
        <v>35</v>
      </c>
      <c r="C558" s="92" t="s">
        <v>594</v>
      </c>
      <c r="D558" s="92" t="s">
        <v>592</v>
      </c>
      <c r="E558" s="93"/>
      <c r="F558" s="93">
        <v>1344283019</v>
      </c>
      <c r="G558" s="93"/>
      <c r="H558" s="94" t="s">
        <v>91</v>
      </c>
      <c r="I558" s="134" t="s">
        <v>612</v>
      </c>
      <c r="J558" s="95">
        <v>11</v>
      </c>
      <c r="K558" s="95">
        <v>11</v>
      </c>
      <c r="L558" s="97">
        <v>2</v>
      </c>
      <c r="M558" s="91">
        <v>1</v>
      </c>
      <c r="N558" s="98" t="s">
        <v>87</v>
      </c>
      <c r="O558" s="99" t="s">
        <v>88</v>
      </c>
      <c r="P558" s="100">
        <v>1</v>
      </c>
      <c r="Q558" s="101">
        <f t="shared" si="134"/>
        <v>1344283019</v>
      </c>
      <c r="R558" s="101">
        <f t="shared" si="135"/>
        <v>1344283019</v>
      </c>
      <c r="S558" s="102" t="s">
        <v>56</v>
      </c>
      <c r="T558" s="98">
        <v>0</v>
      </c>
      <c r="U558" s="27" t="str">
        <f>IF(ISBLANK(N558),"","SUBDIRECCION DE GESTION CONTRACTUAL")</f>
        <v>SUBDIRECCION DE GESTION CONTRACTUAL</v>
      </c>
      <c r="V558" s="91" t="str">
        <f>IF(ISBLANK(N558),"","CO-DC")</f>
        <v>CO-DC</v>
      </c>
      <c r="W558" s="27" t="str">
        <f>IF(ISBLANK(N558),"","Distrito Capital de Bogotá")</f>
        <v>Distrito Capital de Bogotá</v>
      </c>
      <c r="X558" s="27" t="s">
        <v>89</v>
      </c>
      <c r="Y558" s="91">
        <v>2427400</v>
      </c>
      <c r="Z558" s="85" t="s">
        <v>90</v>
      </c>
    </row>
    <row r="559" spans="1:26" s="61" customFormat="1" ht="13.9" hidden="1" customHeight="1" x14ac:dyDescent="0.2">
      <c r="A559" s="171" t="s">
        <v>647</v>
      </c>
      <c r="B559" s="104">
        <v>1</v>
      </c>
      <c r="C559" s="134" t="s">
        <v>648</v>
      </c>
      <c r="D559" s="131" t="s">
        <v>649</v>
      </c>
      <c r="E559" s="132"/>
      <c r="F559" s="132">
        <v>577843847</v>
      </c>
      <c r="G559" s="132"/>
      <c r="H559" s="131">
        <v>80111600</v>
      </c>
      <c r="I559" s="134" t="s">
        <v>650</v>
      </c>
      <c r="J559" s="104">
        <v>1</v>
      </c>
      <c r="K559" s="104">
        <v>1</v>
      </c>
      <c r="L559" s="104">
        <v>12</v>
      </c>
      <c r="M559" s="91">
        <f t="shared" ref="M559:M570" si="141">IF(ISBLANK(J559),"",1)</f>
        <v>1</v>
      </c>
      <c r="N559" s="98" t="s">
        <v>54</v>
      </c>
      <c r="O559" s="99" t="s">
        <v>55</v>
      </c>
      <c r="P559" s="151">
        <f t="shared" ref="P559:P570" si="142">IF(ISBLANK(N559),"",1)</f>
        <v>1</v>
      </c>
      <c r="Q559" s="101">
        <f t="shared" ref="Q559:Q590" si="143">+E559+F559+G559</f>
        <v>577843847</v>
      </c>
      <c r="R559" s="101">
        <f t="shared" ref="R559:R590" si="144">+F559</f>
        <v>577843847</v>
      </c>
      <c r="S559" s="144" t="s">
        <v>56</v>
      </c>
      <c r="T559" s="151">
        <f t="shared" ref="T559:T570" si="145">IF(ISBLANK(S559),"",IF(VALUE(S559)=0,0,IF(VALUE(S559)=1,3,"")))</f>
        <v>0</v>
      </c>
      <c r="U559" s="27" t="str">
        <f t="shared" ref="U559:U570" si="146">IF(ISBLANK(N559),"","SUBDIRECCION DE GESTION CONTRACTUAL")</f>
        <v>SUBDIRECCION DE GESTION CONTRACTUAL</v>
      </c>
      <c r="V559" s="151" t="str">
        <f t="shared" ref="V559:V570" si="147">IF(ISBLANK(N559),"","CO-DC")</f>
        <v>CO-DC</v>
      </c>
      <c r="W559" s="151" t="str">
        <f t="shared" ref="W559:W570" si="148">IF(ISBLANK(N559),"","Distrito Capital de Bogotá")</f>
        <v>Distrito Capital de Bogotá</v>
      </c>
      <c r="X559" s="131" t="s">
        <v>651</v>
      </c>
      <c r="Y559" s="104">
        <v>2427400</v>
      </c>
      <c r="Z559" s="88" t="s">
        <v>652</v>
      </c>
    </row>
    <row r="560" spans="1:26" s="61" customFormat="1" ht="13.9" hidden="1" customHeight="1" x14ac:dyDescent="0.2">
      <c r="A560" s="171" t="s">
        <v>647</v>
      </c>
      <c r="B560" s="104">
        <v>2</v>
      </c>
      <c r="C560" s="134" t="s">
        <v>648</v>
      </c>
      <c r="D560" s="131" t="s">
        <v>649</v>
      </c>
      <c r="E560" s="132"/>
      <c r="F560" s="132">
        <f>425000000-115000000</f>
        <v>310000000</v>
      </c>
      <c r="G560" s="132"/>
      <c r="H560" s="131" t="s">
        <v>653</v>
      </c>
      <c r="I560" s="134" t="s">
        <v>654</v>
      </c>
      <c r="J560" s="104">
        <v>6</v>
      </c>
      <c r="K560" s="104">
        <v>7</v>
      </c>
      <c r="L560" s="104">
        <v>2</v>
      </c>
      <c r="M560" s="91">
        <f t="shared" si="141"/>
        <v>1</v>
      </c>
      <c r="N560" s="98" t="s">
        <v>113</v>
      </c>
      <c r="O560" s="99" t="s">
        <v>114</v>
      </c>
      <c r="P560" s="151">
        <f t="shared" si="142"/>
        <v>1</v>
      </c>
      <c r="Q560" s="101">
        <f t="shared" si="143"/>
        <v>310000000</v>
      </c>
      <c r="R560" s="101">
        <f t="shared" si="144"/>
        <v>310000000</v>
      </c>
      <c r="S560" s="144" t="s">
        <v>56</v>
      </c>
      <c r="T560" s="151">
        <f t="shared" si="145"/>
        <v>0</v>
      </c>
      <c r="U560" s="27" t="str">
        <f t="shared" si="146"/>
        <v>SUBDIRECCION DE GESTION CONTRACTUAL</v>
      </c>
      <c r="V560" s="151" t="str">
        <f t="shared" si="147"/>
        <v>CO-DC</v>
      </c>
      <c r="W560" s="151" t="str">
        <f t="shared" si="148"/>
        <v>Distrito Capital de Bogotá</v>
      </c>
      <c r="X560" s="131" t="s">
        <v>651</v>
      </c>
      <c r="Y560" s="104">
        <v>2427400</v>
      </c>
      <c r="Z560" s="88" t="s">
        <v>652</v>
      </c>
    </row>
    <row r="561" spans="1:26" s="61" customFormat="1" ht="13.9" hidden="1" customHeight="1" x14ac:dyDescent="0.2">
      <c r="A561" s="171" t="s">
        <v>647</v>
      </c>
      <c r="B561" s="104">
        <v>3</v>
      </c>
      <c r="C561" s="134" t="s">
        <v>648</v>
      </c>
      <c r="D561" s="131" t="s">
        <v>649</v>
      </c>
      <c r="E561" s="132"/>
      <c r="F561" s="132">
        <v>700000000</v>
      </c>
      <c r="G561" s="132"/>
      <c r="H561" s="131">
        <v>43233001</v>
      </c>
      <c r="I561" s="134" t="s">
        <v>655</v>
      </c>
      <c r="J561" s="104">
        <v>2</v>
      </c>
      <c r="K561" s="104">
        <v>3</v>
      </c>
      <c r="L561" s="104">
        <v>10</v>
      </c>
      <c r="M561" s="91">
        <f t="shared" si="141"/>
        <v>1</v>
      </c>
      <c r="N561" s="98" t="s">
        <v>64</v>
      </c>
      <c r="O561" s="99" t="s">
        <v>65</v>
      </c>
      <c r="P561" s="151">
        <f t="shared" si="142"/>
        <v>1</v>
      </c>
      <c r="Q561" s="101">
        <f t="shared" si="143"/>
        <v>700000000</v>
      </c>
      <c r="R561" s="101">
        <f t="shared" si="144"/>
        <v>700000000</v>
      </c>
      <c r="S561" s="144" t="s">
        <v>56</v>
      </c>
      <c r="T561" s="151">
        <f t="shared" si="145"/>
        <v>0</v>
      </c>
      <c r="U561" s="27" t="str">
        <f t="shared" si="146"/>
        <v>SUBDIRECCION DE GESTION CONTRACTUAL</v>
      </c>
      <c r="V561" s="151" t="str">
        <f t="shared" si="147"/>
        <v>CO-DC</v>
      </c>
      <c r="W561" s="151" t="str">
        <f t="shared" si="148"/>
        <v>Distrito Capital de Bogotá</v>
      </c>
      <c r="X561" s="131" t="s">
        <v>651</v>
      </c>
      <c r="Y561" s="104">
        <v>2427400</v>
      </c>
      <c r="Z561" s="88" t="s">
        <v>652</v>
      </c>
    </row>
    <row r="562" spans="1:26" s="61" customFormat="1" ht="13.9" hidden="1" customHeight="1" x14ac:dyDescent="0.2">
      <c r="A562" s="171" t="s">
        <v>647</v>
      </c>
      <c r="B562" s="104">
        <v>4</v>
      </c>
      <c r="C562" s="134" t="s">
        <v>648</v>
      </c>
      <c r="D562" s="131" t="s">
        <v>649</v>
      </c>
      <c r="E562" s="132"/>
      <c r="F562" s="132">
        <v>100000000</v>
      </c>
      <c r="G562" s="132"/>
      <c r="H562" s="175" t="s">
        <v>656</v>
      </c>
      <c r="I562" s="134" t="s">
        <v>657</v>
      </c>
      <c r="J562" s="176">
        <v>11</v>
      </c>
      <c r="K562" s="176">
        <v>11</v>
      </c>
      <c r="L562" s="176">
        <v>2</v>
      </c>
      <c r="M562" s="91">
        <f t="shared" si="141"/>
        <v>1</v>
      </c>
      <c r="N562" s="98" t="s">
        <v>87</v>
      </c>
      <c r="O562" s="99" t="s">
        <v>88</v>
      </c>
      <c r="P562" s="151">
        <f t="shared" si="142"/>
        <v>1</v>
      </c>
      <c r="Q562" s="101">
        <f t="shared" si="143"/>
        <v>100000000</v>
      </c>
      <c r="R562" s="101">
        <f t="shared" si="144"/>
        <v>100000000</v>
      </c>
      <c r="S562" s="144" t="s">
        <v>56</v>
      </c>
      <c r="T562" s="151">
        <f t="shared" si="145"/>
        <v>0</v>
      </c>
      <c r="U562" s="27" t="str">
        <f t="shared" si="146"/>
        <v>SUBDIRECCION DE GESTION CONTRACTUAL</v>
      </c>
      <c r="V562" s="151" t="str">
        <f t="shared" si="147"/>
        <v>CO-DC</v>
      </c>
      <c r="W562" s="151" t="str">
        <f t="shared" si="148"/>
        <v>Distrito Capital de Bogotá</v>
      </c>
      <c r="X562" s="131" t="s">
        <v>651</v>
      </c>
      <c r="Y562" s="104">
        <v>2427400</v>
      </c>
      <c r="Z562" s="88" t="s">
        <v>652</v>
      </c>
    </row>
    <row r="563" spans="1:26" s="61" customFormat="1" ht="13.9" hidden="1" customHeight="1" x14ac:dyDescent="0.2">
      <c r="A563" s="171" t="s">
        <v>647</v>
      </c>
      <c r="B563" s="104">
        <v>5</v>
      </c>
      <c r="C563" s="134" t="s">
        <v>648</v>
      </c>
      <c r="D563" s="131" t="s">
        <v>649</v>
      </c>
      <c r="E563" s="132"/>
      <c r="F563" s="132">
        <v>4459914231</v>
      </c>
      <c r="G563" s="132"/>
      <c r="H563" s="131" t="s">
        <v>658</v>
      </c>
      <c r="I563" s="134" t="s">
        <v>659</v>
      </c>
      <c r="J563" s="104">
        <v>4</v>
      </c>
      <c r="K563" s="104">
        <v>5</v>
      </c>
      <c r="L563" s="104">
        <v>8</v>
      </c>
      <c r="M563" s="91">
        <f t="shared" si="141"/>
        <v>1</v>
      </c>
      <c r="N563" s="98" t="s">
        <v>64</v>
      </c>
      <c r="O563" s="99" t="s">
        <v>65</v>
      </c>
      <c r="P563" s="151">
        <f t="shared" si="142"/>
        <v>1</v>
      </c>
      <c r="Q563" s="101">
        <f t="shared" si="143"/>
        <v>4459914231</v>
      </c>
      <c r="R563" s="101">
        <f t="shared" si="144"/>
        <v>4459914231</v>
      </c>
      <c r="S563" s="144" t="s">
        <v>56</v>
      </c>
      <c r="T563" s="151">
        <f t="shared" si="145"/>
        <v>0</v>
      </c>
      <c r="U563" s="27" t="str">
        <f t="shared" si="146"/>
        <v>SUBDIRECCION DE GESTION CONTRACTUAL</v>
      </c>
      <c r="V563" s="151" t="str">
        <f t="shared" si="147"/>
        <v>CO-DC</v>
      </c>
      <c r="W563" s="151" t="str">
        <f t="shared" si="148"/>
        <v>Distrito Capital de Bogotá</v>
      </c>
      <c r="X563" s="131" t="s">
        <v>651</v>
      </c>
      <c r="Y563" s="104">
        <v>2427400</v>
      </c>
      <c r="Z563" s="88" t="s">
        <v>652</v>
      </c>
    </row>
    <row r="564" spans="1:26" s="5" customFormat="1" ht="12.75" hidden="1" customHeight="1" x14ac:dyDescent="0.2">
      <c r="A564" s="171" t="s">
        <v>647</v>
      </c>
      <c r="B564" s="104">
        <v>6</v>
      </c>
      <c r="C564" s="134" t="s">
        <v>648</v>
      </c>
      <c r="D564" s="131" t="s">
        <v>649</v>
      </c>
      <c r="E564" s="132"/>
      <c r="F564" s="132">
        <v>100000000</v>
      </c>
      <c r="G564" s="132"/>
      <c r="H564" s="131" t="s">
        <v>660</v>
      </c>
      <c r="I564" s="134" t="s">
        <v>661</v>
      </c>
      <c r="J564" s="104">
        <v>2</v>
      </c>
      <c r="K564" s="104">
        <v>3</v>
      </c>
      <c r="L564" s="104">
        <v>9</v>
      </c>
      <c r="M564" s="91">
        <f t="shared" si="141"/>
        <v>1</v>
      </c>
      <c r="N564" s="98" t="s">
        <v>87</v>
      </c>
      <c r="O564" s="99" t="s">
        <v>88</v>
      </c>
      <c r="P564" s="151">
        <f t="shared" si="142"/>
        <v>1</v>
      </c>
      <c r="Q564" s="101">
        <f t="shared" si="143"/>
        <v>100000000</v>
      </c>
      <c r="R564" s="101">
        <f t="shared" si="144"/>
        <v>100000000</v>
      </c>
      <c r="S564" s="144" t="s">
        <v>56</v>
      </c>
      <c r="T564" s="151">
        <f t="shared" si="145"/>
        <v>0</v>
      </c>
      <c r="U564" s="27" t="str">
        <f t="shared" si="146"/>
        <v>SUBDIRECCION DE GESTION CONTRACTUAL</v>
      </c>
      <c r="V564" s="151" t="str">
        <f t="shared" si="147"/>
        <v>CO-DC</v>
      </c>
      <c r="W564" s="151" t="str">
        <f t="shared" si="148"/>
        <v>Distrito Capital de Bogotá</v>
      </c>
      <c r="X564" s="131" t="s">
        <v>651</v>
      </c>
      <c r="Y564" s="104">
        <v>2427400</v>
      </c>
      <c r="Z564" s="88" t="s">
        <v>652</v>
      </c>
    </row>
    <row r="565" spans="1:26" s="61" customFormat="1" ht="13.9" hidden="1" customHeight="1" x14ac:dyDescent="0.2">
      <c r="A565" s="171" t="s">
        <v>647</v>
      </c>
      <c r="B565" s="104">
        <v>7</v>
      </c>
      <c r="C565" s="134" t="s">
        <v>662</v>
      </c>
      <c r="D565" s="131" t="s">
        <v>663</v>
      </c>
      <c r="E565" s="132"/>
      <c r="F565" s="132">
        <f>436360-236360</f>
        <v>200000</v>
      </c>
      <c r="G565" s="132"/>
      <c r="H565" s="131" t="s">
        <v>660</v>
      </c>
      <c r="I565" s="134" t="s">
        <v>661</v>
      </c>
      <c r="J565" s="104">
        <v>2</v>
      </c>
      <c r="K565" s="104">
        <v>3</v>
      </c>
      <c r="L565" s="104">
        <v>9</v>
      </c>
      <c r="M565" s="91">
        <f t="shared" si="141"/>
        <v>1</v>
      </c>
      <c r="N565" s="98" t="s">
        <v>87</v>
      </c>
      <c r="O565" s="99" t="s">
        <v>88</v>
      </c>
      <c r="P565" s="151">
        <f t="shared" si="142"/>
        <v>1</v>
      </c>
      <c r="Q565" s="101">
        <f t="shared" si="143"/>
        <v>200000</v>
      </c>
      <c r="R565" s="101">
        <f t="shared" si="144"/>
        <v>200000</v>
      </c>
      <c r="S565" s="144" t="s">
        <v>56</v>
      </c>
      <c r="T565" s="151">
        <f t="shared" si="145"/>
        <v>0</v>
      </c>
      <c r="U565" s="27" t="str">
        <f t="shared" si="146"/>
        <v>SUBDIRECCION DE GESTION CONTRACTUAL</v>
      </c>
      <c r="V565" s="151" t="str">
        <f t="shared" si="147"/>
        <v>CO-DC</v>
      </c>
      <c r="W565" s="151" t="str">
        <f t="shared" si="148"/>
        <v>Distrito Capital de Bogotá</v>
      </c>
      <c r="X565" s="131" t="s">
        <v>129</v>
      </c>
      <c r="Y565" s="104">
        <v>2427400</v>
      </c>
      <c r="Z565" s="133" t="s">
        <v>130</v>
      </c>
    </row>
    <row r="566" spans="1:26" s="61" customFormat="1" ht="13.9" hidden="1" customHeight="1" x14ac:dyDescent="0.2">
      <c r="A566" s="171" t="s">
        <v>647</v>
      </c>
      <c r="B566" s="104">
        <v>8</v>
      </c>
      <c r="C566" s="134" t="s">
        <v>662</v>
      </c>
      <c r="D566" s="131" t="s">
        <v>664</v>
      </c>
      <c r="E566" s="132"/>
      <c r="F566" s="132">
        <f>39548424-3297435</f>
        <v>36250989</v>
      </c>
      <c r="G566" s="132"/>
      <c r="H566" s="131" t="s">
        <v>660</v>
      </c>
      <c r="I566" s="134" t="s">
        <v>661</v>
      </c>
      <c r="J566" s="104">
        <v>2</v>
      </c>
      <c r="K566" s="104">
        <v>3</v>
      </c>
      <c r="L566" s="104">
        <v>9</v>
      </c>
      <c r="M566" s="91">
        <f t="shared" si="141"/>
        <v>1</v>
      </c>
      <c r="N566" s="98" t="s">
        <v>87</v>
      </c>
      <c r="O566" s="99" t="s">
        <v>88</v>
      </c>
      <c r="P566" s="151">
        <f t="shared" si="142"/>
        <v>1</v>
      </c>
      <c r="Q566" s="101">
        <f t="shared" si="143"/>
        <v>36250989</v>
      </c>
      <c r="R566" s="101">
        <f t="shared" si="144"/>
        <v>36250989</v>
      </c>
      <c r="S566" s="144" t="s">
        <v>56</v>
      </c>
      <c r="T566" s="151">
        <f t="shared" si="145"/>
        <v>0</v>
      </c>
      <c r="U566" s="27" t="str">
        <f t="shared" si="146"/>
        <v>SUBDIRECCION DE GESTION CONTRACTUAL</v>
      </c>
      <c r="V566" s="151" t="str">
        <f t="shared" si="147"/>
        <v>CO-DC</v>
      </c>
      <c r="W566" s="151" t="str">
        <f t="shared" si="148"/>
        <v>Distrito Capital de Bogotá</v>
      </c>
      <c r="X566" s="131" t="s">
        <v>129</v>
      </c>
      <c r="Y566" s="104">
        <v>2427400</v>
      </c>
      <c r="Z566" s="133" t="s">
        <v>130</v>
      </c>
    </row>
    <row r="567" spans="1:26" s="61" customFormat="1" ht="13.9" hidden="1" customHeight="1" x14ac:dyDescent="0.2">
      <c r="A567" s="171" t="s">
        <v>647</v>
      </c>
      <c r="B567" s="104">
        <v>9</v>
      </c>
      <c r="C567" s="134" t="s">
        <v>662</v>
      </c>
      <c r="D567" s="131" t="s">
        <v>665</v>
      </c>
      <c r="E567" s="132"/>
      <c r="F567" s="132">
        <f>16760190-760190</f>
        <v>16000000</v>
      </c>
      <c r="G567" s="132"/>
      <c r="H567" s="131" t="s">
        <v>660</v>
      </c>
      <c r="I567" s="134" t="s">
        <v>661</v>
      </c>
      <c r="J567" s="104">
        <v>2</v>
      </c>
      <c r="K567" s="104">
        <v>3</v>
      </c>
      <c r="L567" s="104">
        <v>9</v>
      </c>
      <c r="M567" s="91">
        <f t="shared" si="141"/>
        <v>1</v>
      </c>
      <c r="N567" s="98" t="s">
        <v>87</v>
      </c>
      <c r="O567" s="99" t="s">
        <v>88</v>
      </c>
      <c r="P567" s="151">
        <f t="shared" si="142"/>
        <v>1</v>
      </c>
      <c r="Q567" s="101">
        <f t="shared" si="143"/>
        <v>16000000</v>
      </c>
      <c r="R567" s="101">
        <f t="shared" si="144"/>
        <v>16000000</v>
      </c>
      <c r="S567" s="144" t="s">
        <v>56</v>
      </c>
      <c r="T567" s="151">
        <f t="shared" si="145"/>
        <v>0</v>
      </c>
      <c r="U567" s="27" t="str">
        <f t="shared" si="146"/>
        <v>SUBDIRECCION DE GESTION CONTRACTUAL</v>
      </c>
      <c r="V567" s="151" t="str">
        <f t="shared" si="147"/>
        <v>CO-DC</v>
      </c>
      <c r="W567" s="151" t="str">
        <f t="shared" si="148"/>
        <v>Distrito Capital de Bogotá</v>
      </c>
      <c r="X567" s="131" t="s">
        <v>129</v>
      </c>
      <c r="Y567" s="104">
        <v>2427400</v>
      </c>
      <c r="Z567" s="133" t="s">
        <v>130</v>
      </c>
    </row>
    <row r="568" spans="1:26" s="61" customFormat="1" ht="13.9" hidden="1" customHeight="1" x14ac:dyDescent="0.2">
      <c r="A568" s="171" t="s">
        <v>647</v>
      </c>
      <c r="B568" s="104">
        <v>10</v>
      </c>
      <c r="C568" s="134" t="s">
        <v>662</v>
      </c>
      <c r="D568" s="131" t="s">
        <v>666</v>
      </c>
      <c r="E568" s="132"/>
      <c r="F568" s="132">
        <f>15925909-925909</f>
        <v>15000000</v>
      </c>
      <c r="G568" s="132"/>
      <c r="H568" s="131" t="s">
        <v>660</v>
      </c>
      <c r="I568" s="134" t="s">
        <v>661</v>
      </c>
      <c r="J568" s="104">
        <v>2</v>
      </c>
      <c r="K568" s="104">
        <v>3</v>
      </c>
      <c r="L568" s="104">
        <v>9</v>
      </c>
      <c r="M568" s="91">
        <f t="shared" si="141"/>
        <v>1</v>
      </c>
      <c r="N568" s="98" t="s">
        <v>87</v>
      </c>
      <c r="O568" s="99" t="s">
        <v>88</v>
      </c>
      <c r="P568" s="151">
        <f t="shared" si="142"/>
        <v>1</v>
      </c>
      <c r="Q568" s="101">
        <f t="shared" si="143"/>
        <v>15000000</v>
      </c>
      <c r="R568" s="101">
        <f t="shared" si="144"/>
        <v>15000000</v>
      </c>
      <c r="S568" s="144" t="s">
        <v>56</v>
      </c>
      <c r="T568" s="151">
        <f t="shared" si="145"/>
        <v>0</v>
      </c>
      <c r="U568" s="27" t="str">
        <f t="shared" si="146"/>
        <v>SUBDIRECCION DE GESTION CONTRACTUAL</v>
      </c>
      <c r="V568" s="151" t="str">
        <f t="shared" si="147"/>
        <v>CO-DC</v>
      </c>
      <c r="W568" s="151" t="str">
        <f t="shared" si="148"/>
        <v>Distrito Capital de Bogotá</v>
      </c>
      <c r="X568" s="131" t="s">
        <v>129</v>
      </c>
      <c r="Y568" s="104">
        <v>2427400</v>
      </c>
      <c r="Z568" s="133" t="s">
        <v>130</v>
      </c>
    </row>
    <row r="569" spans="1:26" s="61" customFormat="1" ht="13.9" hidden="1" customHeight="1" x14ac:dyDescent="0.2">
      <c r="A569" s="171" t="s">
        <v>647</v>
      </c>
      <c r="B569" s="104">
        <v>11</v>
      </c>
      <c r="C569" s="134" t="s">
        <v>662</v>
      </c>
      <c r="D569" s="131" t="s">
        <v>667</v>
      </c>
      <c r="E569" s="132"/>
      <c r="F569" s="132">
        <f>25099427-99427</f>
        <v>25000000</v>
      </c>
      <c r="G569" s="132"/>
      <c r="H569" s="131" t="s">
        <v>660</v>
      </c>
      <c r="I569" s="134" t="s">
        <v>661</v>
      </c>
      <c r="J569" s="104">
        <v>2</v>
      </c>
      <c r="K569" s="104">
        <v>3</v>
      </c>
      <c r="L569" s="104">
        <v>9</v>
      </c>
      <c r="M569" s="91">
        <f t="shared" si="141"/>
        <v>1</v>
      </c>
      <c r="N569" s="98" t="s">
        <v>87</v>
      </c>
      <c r="O569" s="99" t="s">
        <v>88</v>
      </c>
      <c r="P569" s="151">
        <f t="shared" si="142"/>
        <v>1</v>
      </c>
      <c r="Q569" s="101">
        <f t="shared" si="143"/>
        <v>25000000</v>
      </c>
      <c r="R569" s="101">
        <f t="shared" si="144"/>
        <v>25000000</v>
      </c>
      <c r="S569" s="144" t="s">
        <v>56</v>
      </c>
      <c r="T569" s="151">
        <f t="shared" si="145"/>
        <v>0</v>
      </c>
      <c r="U569" s="27" t="str">
        <f t="shared" si="146"/>
        <v>SUBDIRECCION DE GESTION CONTRACTUAL</v>
      </c>
      <c r="V569" s="151" t="str">
        <f t="shared" si="147"/>
        <v>CO-DC</v>
      </c>
      <c r="W569" s="151" t="str">
        <f t="shared" si="148"/>
        <v>Distrito Capital de Bogotá</v>
      </c>
      <c r="X569" s="131" t="s">
        <v>129</v>
      </c>
      <c r="Y569" s="104">
        <v>2427400</v>
      </c>
      <c r="Z569" s="133" t="s">
        <v>130</v>
      </c>
    </row>
    <row r="570" spans="1:26" s="61" customFormat="1" ht="13.9" hidden="1" customHeight="1" x14ac:dyDescent="0.2">
      <c r="A570" s="171" t="s">
        <v>647</v>
      </c>
      <c r="B570" s="104">
        <v>12</v>
      </c>
      <c r="C570" s="134" t="s">
        <v>662</v>
      </c>
      <c r="D570" s="131" t="s">
        <v>668</v>
      </c>
      <c r="E570" s="132"/>
      <c r="F570" s="132">
        <f>37659348-16659348</f>
        <v>21000000</v>
      </c>
      <c r="G570" s="132"/>
      <c r="H570" s="131" t="s">
        <v>660</v>
      </c>
      <c r="I570" s="134" t="s">
        <v>661</v>
      </c>
      <c r="J570" s="104">
        <v>2</v>
      </c>
      <c r="K570" s="104">
        <v>3</v>
      </c>
      <c r="L570" s="104">
        <v>9</v>
      </c>
      <c r="M570" s="91">
        <f t="shared" si="141"/>
        <v>1</v>
      </c>
      <c r="N570" s="98" t="s">
        <v>87</v>
      </c>
      <c r="O570" s="99" t="s">
        <v>88</v>
      </c>
      <c r="P570" s="151">
        <f t="shared" si="142"/>
        <v>1</v>
      </c>
      <c r="Q570" s="101">
        <f t="shared" si="143"/>
        <v>21000000</v>
      </c>
      <c r="R570" s="101">
        <f t="shared" si="144"/>
        <v>21000000</v>
      </c>
      <c r="S570" s="144" t="s">
        <v>56</v>
      </c>
      <c r="T570" s="151">
        <f t="shared" si="145"/>
        <v>0</v>
      </c>
      <c r="U570" s="27" t="str">
        <f t="shared" si="146"/>
        <v>SUBDIRECCION DE GESTION CONTRACTUAL</v>
      </c>
      <c r="V570" s="151" t="str">
        <f t="shared" si="147"/>
        <v>CO-DC</v>
      </c>
      <c r="W570" s="151" t="str">
        <f t="shared" si="148"/>
        <v>Distrito Capital de Bogotá</v>
      </c>
      <c r="X570" s="131" t="s">
        <v>129</v>
      </c>
      <c r="Y570" s="104">
        <v>2427400</v>
      </c>
      <c r="Z570" s="133" t="s">
        <v>130</v>
      </c>
    </row>
    <row r="571" spans="1:26" s="61" customFormat="1" ht="13.9" hidden="1" customHeight="1" x14ac:dyDescent="0.2">
      <c r="A571" s="171" t="s">
        <v>647</v>
      </c>
      <c r="B571" s="104">
        <v>13</v>
      </c>
      <c r="C571" s="134" t="s">
        <v>662</v>
      </c>
      <c r="D571" s="131" t="s">
        <v>102</v>
      </c>
      <c r="E571" s="132"/>
      <c r="F571" s="132">
        <f>15000000-10000000</f>
        <v>5000000</v>
      </c>
      <c r="G571" s="132"/>
      <c r="H571" s="131" t="s">
        <v>103</v>
      </c>
      <c r="I571" s="134" t="s">
        <v>669</v>
      </c>
      <c r="J571" s="104">
        <v>10</v>
      </c>
      <c r="K571" s="104">
        <v>11</v>
      </c>
      <c r="L571" s="104">
        <v>1</v>
      </c>
      <c r="M571" s="91">
        <v>1</v>
      </c>
      <c r="N571" s="98" t="s">
        <v>100</v>
      </c>
      <c r="O571" s="99" t="s">
        <v>101</v>
      </c>
      <c r="P571" s="151">
        <v>1</v>
      </c>
      <c r="Q571" s="101">
        <f t="shared" si="143"/>
        <v>5000000</v>
      </c>
      <c r="R571" s="101">
        <f t="shared" si="144"/>
        <v>5000000</v>
      </c>
      <c r="S571" s="144" t="s">
        <v>56</v>
      </c>
      <c r="T571" s="151">
        <v>0</v>
      </c>
      <c r="U571" s="27" t="s">
        <v>280</v>
      </c>
      <c r="V571" s="151" t="s">
        <v>207</v>
      </c>
      <c r="W571" s="151" t="s">
        <v>208</v>
      </c>
      <c r="X571" s="131" t="s">
        <v>196</v>
      </c>
      <c r="Y571" s="104">
        <v>2427400</v>
      </c>
      <c r="Z571" s="133" t="s">
        <v>197</v>
      </c>
    </row>
    <row r="572" spans="1:26" s="61" customFormat="1" ht="13.9" hidden="1" customHeight="1" x14ac:dyDescent="0.2">
      <c r="A572" s="171" t="s">
        <v>647</v>
      </c>
      <c r="B572" s="104">
        <v>14</v>
      </c>
      <c r="C572" s="134" t="s">
        <v>662</v>
      </c>
      <c r="D572" s="131" t="s">
        <v>106</v>
      </c>
      <c r="E572" s="132">
        <v>35200000</v>
      </c>
      <c r="F572" s="132">
        <f>188571850+52198070</f>
        <v>240769920</v>
      </c>
      <c r="G572" s="132"/>
      <c r="H572" s="131" t="s">
        <v>107</v>
      </c>
      <c r="I572" s="134" t="s">
        <v>670</v>
      </c>
      <c r="J572" s="104">
        <v>1</v>
      </c>
      <c r="K572" s="104">
        <v>1</v>
      </c>
      <c r="L572" s="104">
        <v>10</v>
      </c>
      <c r="M572" s="91">
        <f t="shared" ref="M572:M611" si="149">IF(ISBLANK(J572),"",1)</f>
        <v>1</v>
      </c>
      <c r="N572" s="98" t="s">
        <v>87</v>
      </c>
      <c r="O572" s="99" t="s">
        <v>88</v>
      </c>
      <c r="P572" s="151">
        <f t="shared" ref="P572:P610" si="150">IF(ISBLANK(N572),"",1)</f>
        <v>1</v>
      </c>
      <c r="Q572" s="101">
        <f t="shared" si="143"/>
        <v>275969920</v>
      </c>
      <c r="R572" s="101">
        <f t="shared" si="144"/>
        <v>240769920</v>
      </c>
      <c r="S572" s="144">
        <v>0</v>
      </c>
      <c r="T572" s="151">
        <f t="shared" ref="T572:T610" si="151">IF(ISBLANK(S572),"",IF(VALUE(S572)=0,0,IF(VALUE(S572)=1,3,"")))</f>
        <v>0</v>
      </c>
      <c r="U572" s="27" t="str">
        <f t="shared" ref="U572:U611" si="152">IF(ISBLANK(N572),"","SUBDIRECCION DE GESTION CONTRACTUAL")</f>
        <v>SUBDIRECCION DE GESTION CONTRACTUAL</v>
      </c>
      <c r="V572" s="151" t="str">
        <f t="shared" ref="V572:V611" si="153">IF(ISBLANK(N572),"","CO-DC")</f>
        <v>CO-DC</v>
      </c>
      <c r="W572" s="151" t="str">
        <f t="shared" ref="W572:W611" si="154">IF(ISBLANK(N572),"","Distrito Capital de Bogotá")</f>
        <v>Distrito Capital de Bogotá</v>
      </c>
      <c r="X572" s="131" t="s">
        <v>129</v>
      </c>
      <c r="Y572" s="104">
        <v>2427400</v>
      </c>
      <c r="Z572" s="133" t="s">
        <v>130</v>
      </c>
    </row>
    <row r="573" spans="1:26" s="61" customFormat="1" ht="13.9" hidden="1" customHeight="1" x14ac:dyDescent="0.2">
      <c r="A573" s="171" t="s">
        <v>647</v>
      </c>
      <c r="B573" s="104">
        <v>15</v>
      </c>
      <c r="C573" s="134" t="s">
        <v>662</v>
      </c>
      <c r="D573" s="131" t="s">
        <v>106</v>
      </c>
      <c r="E573" s="132"/>
      <c r="F573" s="132">
        <f>40000000-17000000</f>
        <v>23000000</v>
      </c>
      <c r="G573" s="132">
        <v>254112199</v>
      </c>
      <c r="H573" s="131" t="s">
        <v>107</v>
      </c>
      <c r="I573" s="134" t="s">
        <v>671</v>
      </c>
      <c r="J573" s="104">
        <v>10</v>
      </c>
      <c r="K573" s="104">
        <v>11</v>
      </c>
      <c r="L573" s="104">
        <v>12</v>
      </c>
      <c r="M573" s="91">
        <f t="shared" si="149"/>
        <v>1</v>
      </c>
      <c r="N573" s="98" t="s">
        <v>87</v>
      </c>
      <c r="O573" s="99" t="s">
        <v>88</v>
      </c>
      <c r="P573" s="151">
        <f t="shared" si="150"/>
        <v>1</v>
      </c>
      <c r="Q573" s="101">
        <f t="shared" si="143"/>
        <v>277112199</v>
      </c>
      <c r="R573" s="101">
        <f t="shared" si="144"/>
        <v>23000000</v>
      </c>
      <c r="S573" s="144">
        <v>1</v>
      </c>
      <c r="T573" s="151">
        <v>3</v>
      </c>
      <c r="U573" s="27" t="str">
        <f t="shared" si="152"/>
        <v>SUBDIRECCION DE GESTION CONTRACTUAL</v>
      </c>
      <c r="V573" s="151" t="str">
        <f t="shared" si="153"/>
        <v>CO-DC</v>
      </c>
      <c r="W573" s="151" t="str">
        <f t="shared" si="154"/>
        <v>Distrito Capital de Bogotá</v>
      </c>
      <c r="X573" s="131" t="s">
        <v>129</v>
      </c>
      <c r="Y573" s="104">
        <v>2427400</v>
      </c>
      <c r="Z573" s="133" t="s">
        <v>130</v>
      </c>
    </row>
    <row r="574" spans="1:26" s="63" customFormat="1" ht="15" hidden="1" customHeight="1" x14ac:dyDescent="0.2">
      <c r="A574" s="148" t="s">
        <v>647</v>
      </c>
      <c r="B574" s="104">
        <v>16</v>
      </c>
      <c r="C574" s="134" t="s">
        <v>662</v>
      </c>
      <c r="D574" s="131" t="s">
        <v>106</v>
      </c>
      <c r="E574" s="132"/>
      <c r="F574" s="132">
        <f>54545000-7964400-7964400</f>
        <v>38616200</v>
      </c>
      <c r="G574" s="132"/>
      <c r="H574" s="131" t="s">
        <v>672</v>
      </c>
      <c r="I574" s="134" t="s">
        <v>673</v>
      </c>
      <c r="J574" s="104">
        <v>3</v>
      </c>
      <c r="K574" s="104">
        <v>3</v>
      </c>
      <c r="L574" s="104">
        <v>9</v>
      </c>
      <c r="M574" s="91">
        <f t="shared" si="149"/>
        <v>1</v>
      </c>
      <c r="N574" s="98" t="s">
        <v>87</v>
      </c>
      <c r="O574" s="99" t="s">
        <v>88</v>
      </c>
      <c r="P574" s="151">
        <f t="shared" si="150"/>
        <v>1</v>
      </c>
      <c r="Q574" s="101">
        <f t="shared" si="143"/>
        <v>38616200</v>
      </c>
      <c r="R574" s="101">
        <f t="shared" si="144"/>
        <v>38616200</v>
      </c>
      <c r="S574" s="144" t="s">
        <v>56</v>
      </c>
      <c r="T574" s="151">
        <f t="shared" si="151"/>
        <v>0</v>
      </c>
      <c r="U574" s="27" t="str">
        <f t="shared" si="152"/>
        <v>SUBDIRECCION DE GESTION CONTRACTUAL</v>
      </c>
      <c r="V574" s="151" t="str">
        <f t="shared" si="153"/>
        <v>CO-DC</v>
      </c>
      <c r="W574" s="151" t="str">
        <f t="shared" si="154"/>
        <v>Distrito Capital de Bogotá</v>
      </c>
      <c r="X574" s="131" t="s">
        <v>129</v>
      </c>
      <c r="Y574" s="104">
        <v>2427400</v>
      </c>
      <c r="Z574" s="133" t="s">
        <v>130</v>
      </c>
    </row>
    <row r="575" spans="1:26" s="61" customFormat="1" ht="13.9" hidden="1" customHeight="1" x14ac:dyDescent="0.2">
      <c r="A575" s="171" t="s">
        <v>647</v>
      </c>
      <c r="B575" s="104">
        <v>17</v>
      </c>
      <c r="C575" s="134" t="s">
        <v>662</v>
      </c>
      <c r="D575" s="131" t="s">
        <v>664</v>
      </c>
      <c r="E575" s="132"/>
      <c r="F575" s="132">
        <f>6576887-4283757</f>
        <v>2293130</v>
      </c>
      <c r="G575" s="132"/>
      <c r="H575" s="131" t="s">
        <v>674</v>
      </c>
      <c r="I575" s="177" t="s">
        <v>675</v>
      </c>
      <c r="J575" s="104">
        <v>6</v>
      </c>
      <c r="K575" s="104">
        <v>7</v>
      </c>
      <c r="L575" s="104">
        <v>2</v>
      </c>
      <c r="M575" s="91">
        <f t="shared" si="149"/>
        <v>1</v>
      </c>
      <c r="N575" s="98" t="s">
        <v>100</v>
      </c>
      <c r="O575" s="99" t="s">
        <v>101</v>
      </c>
      <c r="P575" s="151">
        <f t="shared" si="150"/>
        <v>1</v>
      </c>
      <c r="Q575" s="101">
        <f t="shared" si="143"/>
        <v>2293130</v>
      </c>
      <c r="R575" s="101">
        <f t="shared" si="144"/>
        <v>2293130</v>
      </c>
      <c r="S575" s="144" t="s">
        <v>56</v>
      </c>
      <c r="T575" s="151">
        <f t="shared" si="151"/>
        <v>0</v>
      </c>
      <c r="U575" s="27" t="str">
        <f t="shared" si="152"/>
        <v>SUBDIRECCION DE GESTION CONTRACTUAL</v>
      </c>
      <c r="V575" s="151" t="str">
        <f t="shared" si="153"/>
        <v>CO-DC</v>
      </c>
      <c r="W575" s="151" t="str">
        <f t="shared" si="154"/>
        <v>Distrito Capital de Bogotá</v>
      </c>
      <c r="X575" s="131" t="s">
        <v>196</v>
      </c>
      <c r="Y575" s="104">
        <v>2427400</v>
      </c>
      <c r="Z575" s="133" t="s">
        <v>676</v>
      </c>
    </row>
    <row r="576" spans="1:26" s="61" customFormat="1" ht="13.9" hidden="1" customHeight="1" x14ac:dyDescent="0.2">
      <c r="A576" s="171" t="s">
        <v>647</v>
      </c>
      <c r="B576" s="104">
        <v>18</v>
      </c>
      <c r="C576" s="134" t="s">
        <v>662</v>
      </c>
      <c r="D576" s="131" t="s">
        <v>677</v>
      </c>
      <c r="E576" s="132"/>
      <c r="F576" s="132">
        <v>3138188</v>
      </c>
      <c r="G576" s="132"/>
      <c r="H576" s="131" t="s">
        <v>674</v>
      </c>
      <c r="I576" s="177" t="s">
        <v>675</v>
      </c>
      <c r="J576" s="104">
        <v>6</v>
      </c>
      <c r="K576" s="104">
        <v>7</v>
      </c>
      <c r="L576" s="104">
        <v>2</v>
      </c>
      <c r="M576" s="91">
        <f t="shared" si="149"/>
        <v>1</v>
      </c>
      <c r="N576" s="98" t="s">
        <v>100</v>
      </c>
      <c r="O576" s="99" t="s">
        <v>101</v>
      </c>
      <c r="P576" s="151">
        <f t="shared" si="150"/>
        <v>1</v>
      </c>
      <c r="Q576" s="101">
        <f t="shared" si="143"/>
        <v>3138188</v>
      </c>
      <c r="R576" s="101">
        <f t="shared" si="144"/>
        <v>3138188</v>
      </c>
      <c r="S576" s="144" t="s">
        <v>56</v>
      </c>
      <c r="T576" s="151">
        <f t="shared" si="151"/>
        <v>0</v>
      </c>
      <c r="U576" s="27" t="str">
        <f t="shared" si="152"/>
        <v>SUBDIRECCION DE GESTION CONTRACTUAL</v>
      </c>
      <c r="V576" s="151" t="str">
        <f t="shared" si="153"/>
        <v>CO-DC</v>
      </c>
      <c r="W576" s="151" t="str">
        <f t="shared" si="154"/>
        <v>Distrito Capital de Bogotá</v>
      </c>
      <c r="X576" s="131" t="s">
        <v>196</v>
      </c>
      <c r="Y576" s="104">
        <v>2427400</v>
      </c>
      <c r="Z576" s="133" t="s">
        <v>676</v>
      </c>
    </row>
    <row r="577" spans="1:26" s="61" customFormat="1" ht="13.9" hidden="1" customHeight="1" x14ac:dyDescent="0.2">
      <c r="A577" s="171" t="s">
        <v>647</v>
      </c>
      <c r="B577" s="104">
        <v>19</v>
      </c>
      <c r="C577" s="134" t="s">
        <v>662</v>
      </c>
      <c r="D577" s="131" t="s">
        <v>621</v>
      </c>
      <c r="E577" s="132"/>
      <c r="F577" s="132">
        <v>12495000</v>
      </c>
      <c r="G577" s="132"/>
      <c r="H577" s="175" t="s">
        <v>678</v>
      </c>
      <c r="I577" s="134" t="s">
        <v>657</v>
      </c>
      <c r="J577" s="176">
        <v>11</v>
      </c>
      <c r="K577" s="176">
        <v>11</v>
      </c>
      <c r="L577" s="176">
        <v>2</v>
      </c>
      <c r="M577" s="91">
        <f t="shared" si="149"/>
        <v>1</v>
      </c>
      <c r="N577" s="98" t="s">
        <v>64</v>
      </c>
      <c r="O577" s="99" t="s">
        <v>88</v>
      </c>
      <c r="P577" s="151">
        <f t="shared" si="150"/>
        <v>1</v>
      </c>
      <c r="Q577" s="101">
        <f t="shared" si="143"/>
        <v>12495000</v>
      </c>
      <c r="R577" s="101">
        <f t="shared" si="144"/>
        <v>12495000</v>
      </c>
      <c r="S577" s="144" t="s">
        <v>56</v>
      </c>
      <c r="T577" s="151">
        <f t="shared" si="151"/>
        <v>0</v>
      </c>
      <c r="U577" s="27" t="str">
        <f t="shared" si="152"/>
        <v>SUBDIRECCION DE GESTION CONTRACTUAL</v>
      </c>
      <c r="V577" s="151" t="str">
        <f t="shared" si="153"/>
        <v>CO-DC</v>
      </c>
      <c r="W577" s="151" t="str">
        <f t="shared" si="154"/>
        <v>Distrito Capital de Bogotá</v>
      </c>
      <c r="X577" s="178" t="s">
        <v>196</v>
      </c>
      <c r="Y577" s="104">
        <v>2427400</v>
      </c>
      <c r="Z577" s="89" t="s">
        <v>197</v>
      </c>
    </row>
    <row r="578" spans="1:26" s="61" customFormat="1" ht="13.9" hidden="1" customHeight="1" x14ac:dyDescent="0.2">
      <c r="A578" s="171" t="s">
        <v>647</v>
      </c>
      <c r="B578" s="104">
        <v>20</v>
      </c>
      <c r="C578" s="134" t="s">
        <v>662</v>
      </c>
      <c r="D578" s="131" t="s">
        <v>147</v>
      </c>
      <c r="E578" s="132">
        <v>5158324</v>
      </c>
      <c r="F578" s="132">
        <v>4961995</v>
      </c>
      <c r="G578" s="132"/>
      <c r="H578" s="131">
        <v>78102203</v>
      </c>
      <c r="I578" s="134" t="s">
        <v>679</v>
      </c>
      <c r="J578" s="104">
        <v>1</v>
      </c>
      <c r="K578" s="104">
        <v>1</v>
      </c>
      <c r="L578" s="104">
        <v>9</v>
      </c>
      <c r="M578" s="91">
        <f t="shared" si="149"/>
        <v>1</v>
      </c>
      <c r="N578" s="98" t="s">
        <v>64</v>
      </c>
      <c r="O578" s="99" t="s">
        <v>65</v>
      </c>
      <c r="P578" s="151">
        <f t="shared" si="150"/>
        <v>1</v>
      </c>
      <c r="Q578" s="101">
        <f t="shared" si="143"/>
        <v>10120319</v>
      </c>
      <c r="R578" s="101">
        <f t="shared" si="144"/>
        <v>4961995</v>
      </c>
      <c r="S578" s="144" t="s">
        <v>56</v>
      </c>
      <c r="T578" s="151">
        <f t="shared" si="151"/>
        <v>0</v>
      </c>
      <c r="U578" s="27" t="str">
        <f t="shared" si="152"/>
        <v>SUBDIRECCION DE GESTION CONTRACTUAL</v>
      </c>
      <c r="V578" s="151" t="str">
        <f t="shared" si="153"/>
        <v>CO-DC</v>
      </c>
      <c r="W578" s="151" t="str">
        <f t="shared" si="154"/>
        <v>Distrito Capital de Bogotá</v>
      </c>
      <c r="X578" s="131" t="s">
        <v>680</v>
      </c>
      <c r="Y578" s="104">
        <v>2427400</v>
      </c>
      <c r="Z578" s="133" t="s">
        <v>681</v>
      </c>
    </row>
    <row r="579" spans="1:26" s="61" customFormat="1" ht="13.9" hidden="1" customHeight="1" x14ac:dyDescent="0.2">
      <c r="A579" s="171" t="s">
        <v>647</v>
      </c>
      <c r="B579" s="104">
        <v>21</v>
      </c>
      <c r="C579" s="134" t="s">
        <v>662</v>
      </c>
      <c r="D579" s="131" t="s">
        <v>147</v>
      </c>
      <c r="E579" s="132"/>
      <c r="F579" s="132">
        <v>3000000</v>
      </c>
      <c r="G579" s="132"/>
      <c r="H579" s="131">
        <v>78102203</v>
      </c>
      <c r="I579" s="134" t="s">
        <v>682</v>
      </c>
      <c r="J579" s="104">
        <v>8</v>
      </c>
      <c r="K579" s="104">
        <v>9</v>
      </c>
      <c r="L579" s="104">
        <v>12</v>
      </c>
      <c r="M579" s="91">
        <f t="shared" si="149"/>
        <v>1</v>
      </c>
      <c r="N579" s="98" t="s">
        <v>64</v>
      </c>
      <c r="O579" s="99" t="s">
        <v>65</v>
      </c>
      <c r="P579" s="151">
        <f t="shared" si="150"/>
        <v>1</v>
      </c>
      <c r="Q579" s="101">
        <f t="shared" si="143"/>
        <v>3000000</v>
      </c>
      <c r="R579" s="101">
        <f t="shared" si="144"/>
        <v>3000000</v>
      </c>
      <c r="S579" s="144" t="s">
        <v>366</v>
      </c>
      <c r="T579" s="151">
        <f t="shared" si="151"/>
        <v>3</v>
      </c>
      <c r="U579" s="27" t="str">
        <f t="shared" si="152"/>
        <v>SUBDIRECCION DE GESTION CONTRACTUAL</v>
      </c>
      <c r="V579" s="151" t="str">
        <f t="shared" si="153"/>
        <v>CO-DC</v>
      </c>
      <c r="W579" s="151" t="str">
        <f t="shared" si="154"/>
        <v>Distrito Capital de Bogotá</v>
      </c>
      <c r="X579" s="131" t="s">
        <v>680</v>
      </c>
      <c r="Y579" s="104">
        <v>2427400</v>
      </c>
      <c r="Z579" s="133" t="s">
        <v>681</v>
      </c>
    </row>
    <row r="580" spans="1:26" s="61" customFormat="1" ht="13.9" hidden="1" customHeight="1" x14ac:dyDescent="0.2">
      <c r="A580" s="171" t="s">
        <v>647</v>
      </c>
      <c r="B580" s="104">
        <v>22</v>
      </c>
      <c r="C580" s="134" t="s">
        <v>662</v>
      </c>
      <c r="D580" s="131" t="s">
        <v>102</v>
      </c>
      <c r="E580" s="132"/>
      <c r="F580" s="132">
        <f>0+10000000</f>
        <v>10000000</v>
      </c>
      <c r="G580" s="132"/>
      <c r="H580" s="131" t="s">
        <v>683</v>
      </c>
      <c r="I580" s="134" t="s">
        <v>684</v>
      </c>
      <c r="J580" s="104">
        <v>10</v>
      </c>
      <c r="K580" s="104">
        <v>11</v>
      </c>
      <c r="L580" s="104">
        <v>1</v>
      </c>
      <c r="M580" s="91">
        <f t="shared" si="149"/>
        <v>1</v>
      </c>
      <c r="N580" s="98" t="s">
        <v>100</v>
      </c>
      <c r="O580" s="99" t="s">
        <v>101</v>
      </c>
      <c r="P580" s="151">
        <f t="shared" si="150"/>
        <v>1</v>
      </c>
      <c r="Q580" s="101">
        <f t="shared" si="143"/>
        <v>10000000</v>
      </c>
      <c r="R580" s="101">
        <f t="shared" si="144"/>
        <v>10000000</v>
      </c>
      <c r="S580" s="144" t="s">
        <v>56</v>
      </c>
      <c r="T580" s="151">
        <f t="shared" si="151"/>
        <v>0</v>
      </c>
      <c r="U580" s="27" t="str">
        <f t="shared" si="152"/>
        <v>SUBDIRECCION DE GESTION CONTRACTUAL</v>
      </c>
      <c r="V580" s="151" t="str">
        <f t="shared" si="153"/>
        <v>CO-DC</v>
      </c>
      <c r="W580" s="151" t="str">
        <f t="shared" si="154"/>
        <v>Distrito Capital de Bogotá</v>
      </c>
      <c r="X580" s="131" t="s">
        <v>196</v>
      </c>
      <c r="Y580" s="104">
        <v>2427400</v>
      </c>
      <c r="Z580" s="133" t="s">
        <v>197</v>
      </c>
    </row>
    <row r="581" spans="1:26" s="61" customFormat="1" ht="13.9" hidden="1" customHeight="1" x14ac:dyDescent="0.2">
      <c r="A581" s="171" t="s">
        <v>647</v>
      </c>
      <c r="B581" s="104">
        <v>23</v>
      </c>
      <c r="C581" s="134" t="s">
        <v>662</v>
      </c>
      <c r="D581" s="131" t="s">
        <v>102</v>
      </c>
      <c r="E581" s="132"/>
      <c r="F581" s="132">
        <f>327270000+100000000-27270000</f>
        <v>400000000</v>
      </c>
      <c r="G581" s="132"/>
      <c r="H581" s="131" t="s">
        <v>111</v>
      </c>
      <c r="I581" s="134" t="s">
        <v>685</v>
      </c>
      <c r="J581" s="104">
        <v>5</v>
      </c>
      <c r="K581" s="104">
        <v>6</v>
      </c>
      <c r="L581" s="104">
        <v>12</v>
      </c>
      <c r="M581" s="91">
        <f t="shared" si="149"/>
        <v>1</v>
      </c>
      <c r="N581" s="98" t="s">
        <v>113</v>
      </c>
      <c r="O581" s="99" t="s">
        <v>114</v>
      </c>
      <c r="P581" s="151">
        <f t="shared" si="150"/>
        <v>1</v>
      </c>
      <c r="Q581" s="101">
        <f t="shared" si="143"/>
        <v>400000000</v>
      </c>
      <c r="R581" s="101">
        <f t="shared" si="144"/>
        <v>400000000</v>
      </c>
      <c r="S581" s="144" t="s">
        <v>366</v>
      </c>
      <c r="T581" s="151">
        <f t="shared" si="151"/>
        <v>3</v>
      </c>
      <c r="U581" s="27" t="str">
        <f t="shared" si="152"/>
        <v>SUBDIRECCION DE GESTION CONTRACTUAL</v>
      </c>
      <c r="V581" s="151" t="str">
        <f t="shared" si="153"/>
        <v>CO-DC</v>
      </c>
      <c r="W581" s="151" t="str">
        <f t="shared" si="154"/>
        <v>Distrito Capital de Bogotá</v>
      </c>
      <c r="X581" s="131" t="s">
        <v>196</v>
      </c>
      <c r="Y581" s="104">
        <v>2427400</v>
      </c>
      <c r="Z581" s="133" t="s">
        <v>197</v>
      </c>
    </row>
    <row r="582" spans="1:26" s="61" customFormat="1" ht="13.9" hidden="1" customHeight="1" x14ac:dyDescent="0.2">
      <c r="A582" s="171" t="s">
        <v>647</v>
      </c>
      <c r="B582" s="104">
        <v>24</v>
      </c>
      <c r="C582" s="134" t="s">
        <v>662</v>
      </c>
      <c r="D582" s="131" t="s">
        <v>118</v>
      </c>
      <c r="E582" s="132"/>
      <c r="F582" s="132">
        <f>17180273-17180273</f>
        <v>0</v>
      </c>
      <c r="G582" s="132"/>
      <c r="H582" s="131" t="s">
        <v>686</v>
      </c>
      <c r="I582" s="134" t="s">
        <v>687</v>
      </c>
      <c r="J582" s="104">
        <v>11</v>
      </c>
      <c r="K582" s="104">
        <v>11</v>
      </c>
      <c r="L582" s="104">
        <v>1</v>
      </c>
      <c r="M582" s="91">
        <f t="shared" si="149"/>
        <v>1</v>
      </c>
      <c r="N582" s="98" t="s">
        <v>100</v>
      </c>
      <c r="O582" s="99" t="s">
        <v>101</v>
      </c>
      <c r="P582" s="151">
        <f t="shared" si="150"/>
        <v>1</v>
      </c>
      <c r="Q582" s="101">
        <f t="shared" si="143"/>
        <v>0</v>
      </c>
      <c r="R582" s="101">
        <f t="shared" si="144"/>
        <v>0</v>
      </c>
      <c r="S582" s="144" t="s">
        <v>56</v>
      </c>
      <c r="T582" s="151">
        <f t="shared" si="151"/>
        <v>0</v>
      </c>
      <c r="U582" s="27" t="str">
        <f t="shared" si="152"/>
        <v>SUBDIRECCION DE GESTION CONTRACTUAL</v>
      </c>
      <c r="V582" s="151" t="str">
        <f t="shared" si="153"/>
        <v>CO-DC</v>
      </c>
      <c r="W582" s="151" t="str">
        <f t="shared" si="154"/>
        <v>Distrito Capital de Bogotá</v>
      </c>
      <c r="X582" s="131" t="s">
        <v>688</v>
      </c>
      <c r="Y582" s="104">
        <v>2427400</v>
      </c>
      <c r="Z582" s="133" t="s">
        <v>689</v>
      </c>
    </row>
    <row r="583" spans="1:26" s="61" customFormat="1" ht="13.9" hidden="1" customHeight="1" x14ac:dyDescent="0.2">
      <c r="A583" s="171" t="s">
        <v>647</v>
      </c>
      <c r="B583" s="104">
        <v>25</v>
      </c>
      <c r="C583" s="134" t="s">
        <v>662</v>
      </c>
      <c r="D583" s="131" t="s">
        <v>118</v>
      </c>
      <c r="E583" s="132">
        <v>835380</v>
      </c>
      <c r="F583" s="132">
        <v>7518420</v>
      </c>
      <c r="G583" s="132"/>
      <c r="H583" s="131">
        <v>83111903</v>
      </c>
      <c r="I583" s="134" t="s">
        <v>690</v>
      </c>
      <c r="J583" s="104">
        <v>1</v>
      </c>
      <c r="K583" s="104">
        <v>1</v>
      </c>
      <c r="L583" s="104">
        <v>11</v>
      </c>
      <c r="M583" s="91">
        <f t="shared" si="149"/>
        <v>1</v>
      </c>
      <c r="N583" s="98" t="s">
        <v>100</v>
      </c>
      <c r="O583" s="99" t="s">
        <v>101</v>
      </c>
      <c r="P583" s="151">
        <f t="shared" si="150"/>
        <v>1</v>
      </c>
      <c r="Q583" s="101">
        <f t="shared" si="143"/>
        <v>8353800</v>
      </c>
      <c r="R583" s="101">
        <f t="shared" si="144"/>
        <v>7518420</v>
      </c>
      <c r="S583" s="144" t="s">
        <v>56</v>
      </c>
      <c r="T583" s="151">
        <f t="shared" si="151"/>
        <v>0</v>
      </c>
      <c r="U583" s="27" t="str">
        <f t="shared" si="152"/>
        <v>SUBDIRECCION DE GESTION CONTRACTUAL</v>
      </c>
      <c r="V583" s="151" t="str">
        <f t="shared" si="153"/>
        <v>CO-DC</v>
      </c>
      <c r="W583" s="151" t="str">
        <f t="shared" si="154"/>
        <v>Distrito Capital de Bogotá</v>
      </c>
      <c r="X583" s="131" t="s">
        <v>129</v>
      </c>
      <c r="Y583" s="104">
        <v>2427400</v>
      </c>
      <c r="Z583" s="133" t="s">
        <v>130</v>
      </c>
    </row>
    <row r="584" spans="1:26" s="61" customFormat="1" ht="13.9" hidden="1" customHeight="1" x14ac:dyDescent="0.2">
      <c r="A584" s="171" t="s">
        <v>647</v>
      </c>
      <c r="B584" s="104">
        <v>26</v>
      </c>
      <c r="C584" s="134" t="s">
        <v>662</v>
      </c>
      <c r="D584" s="131" t="s">
        <v>118</v>
      </c>
      <c r="E584" s="132"/>
      <c r="F584" s="132">
        <f>2000000-1113840</f>
        <v>886160</v>
      </c>
      <c r="G584" s="179">
        <v>8939029</v>
      </c>
      <c r="H584" s="131">
        <v>83111903</v>
      </c>
      <c r="I584" s="134" t="s">
        <v>691</v>
      </c>
      <c r="J584" s="104">
        <v>10</v>
      </c>
      <c r="K584" s="104">
        <v>12</v>
      </c>
      <c r="L584" s="104">
        <v>12</v>
      </c>
      <c r="M584" s="91">
        <f t="shared" si="149"/>
        <v>1</v>
      </c>
      <c r="N584" s="98" t="s">
        <v>100</v>
      </c>
      <c r="O584" s="99" t="s">
        <v>101</v>
      </c>
      <c r="P584" s="151">
        <f t="shared" si="150"/>
        <v>1</v>
      </c>
      <c r="Q584" s="101">
        <f t="shared" si="143"/>
        <v>9825189</v>
      </c>
      <c r="R584" s="101">
        <f t="shared" si="144"/>
        <v>886160</v>
      </c>
      <c r="S584" s="144" t="s">
        <v>366</v>
      </c>
      <c r="T584" s="151">
        <f t="shared" si="151"/>
        <v>3</v>
      </c>
      <c r="U584" s="27" t="str">
        <f t="shared" si="152"/>
        <v>SUBDIRECCION DE GESTION CONTRACTUAL</v>
      </c>
      <c r="V584" s="151" t="str">
        <f t="shared" si="153"/>
        <v>CO-DC</v>
      </c>
      <c r="W584" s="151" t="str">
        <f t="shared" si="154"/>
        <v>Distrito Capital de Bogotá</v>
      </c>
      <c r="X584" s="131" t="s">
        <v>129</v>
      </c>
      <c r="Y584" s="104">
        <v>2427400</v>
      </c>
      <c r="Z584" s="133" t="s">
        <v>130</v>
      </c>
    </row>
    <row r="585" spans="1:26" s="5" customFormat="1" ht="12.75" hidden="1" customHeight="1" x14ac:dyDescent="0.2">
      <c r="A585" s="171" t="s">
        <v>647</v>
      </c>
      <c r="B585" s="104">
        <v>27</v>
      </c>
      <c r="C585" s="134" t="s">
        <v>662</v>
      </c>
      <c r="D585" s="131" t="s">
        <v>123</v>
      </c>
      <c r="E585" s="132">
        <v>1325020663</v>
      </c>
      <c r="F585" s="132">
        <v>1368255649</v>
      </c>
      <c r="G585" s="132"/>
      <c r="H585" s="131">
        <v>92121500</v>
      </c>
      <c r="I585" s="134" t="s">
        <v>692</v>
      </c>
      <c r="J585" s="104">
        <v>1</v>
      </c>
      <c r="K585" s="104">
        <v>1</v>
      </c>
      <c r="L585" s="104">
        <v>11</v>
      </c>
      <c r="M585" s="91">
        <f t="shared" si="149"/>
        <v>1</v>
      </c>
      <c r="N585" s="98" t="s">
        <v>125</v>
      </c>
      <c r="O585" s="99" t="s">
        <v>126</v>
      </c>
      <c r="P585" s="151">
        <f t="shared" si="150"/>
        <v>1</v>
      </c>
      <c r="Q585" s="101">
        <f t="shared" si="143"/>
        <v>2693276312</v>
      </c>
      <c r="R585" s="101">
        <f t="shared" si="144"/>
        <v>1368255649</v>
      </c>
      <c r="S585" s="144" t="s">
        <v>56</v>
      </c>
      <c r="T585" s="151">
        <f t="shared" si="151"/>
        <v>0</v>
      </c>
      <c r="U585" s="27" t="str">
        <f t="shared" si="152"/>
        <v>SUBDIRECCION DE GESTION CONTRACTUAL</v>
      </c>
      <c r="V585" s="151" t="str">
        <f t="shared" si="153"/>
        <v>CO-DC</v>
      </c>
      <c r="W585" s="151" t="str">
        <f t="shared" si="154"/>
        <v>Distrito Capital de Bogotá</v>
      </c>
      <c r="X585" s="131" t="s">
        <v>129</v>
      </c>
      <c r="Y585" s="104">
        <v>2427400</v>
      </c>
      <c r="Z585" s="133" t="s">
        <v>130</v>
      </c>
    </row>
    <row r="586" spans="1:26" s="61" customFormat="1" ht="13.9" hidden="1" customHeight="1" x14ac:dyDescent="0.2">
      <c r="A586" s="171" t="s">
        <v>647</v>
      </c>
      <c r="B586" s="104">
        <v>28</v>
      </c>
      <c r="C586" s="134" t="s">
        <v>662</v>
      </c>
      <c r="D586" s="131" t="s">
        <v>123</v>
      </c>
      <c r="E586" s="132"/>
      <c r="F586" s="132">
        <f>125715891-5000000-96879938+9158097</f>
        <v>32994050</v>
      </c>
      <c r="G586" s="179">
        <v>1497475331</v>
      </c>
      <c r="H586" s="131">
        <v>92121500</v>
      </c>
      <c r="I586" s="134" t="s">
        <v>693</v>
      </c>
      <c r="J586" s="104">
        <v>12</v>
      </c>
      <c r="K586" s="104">
        <v>12</v>
      </c>
      <c r="L586" s="104">
        <v>11</v>
      </c>
      <c r="M586" s="91">
        <f t="shared" si="149"/>
        <v>1</v>
      </c>
      <c r="N586" s="98" t="s">
        <v>125</v>
      </c>
      <c r="O586" s="99" t="s">
        <v>126</v>
      </c>
      <c r="P586" s="151">
        <f t="shared" si="150"/>
        <v>1</v>
      </c>
      <c r="Q586" s="101">
        <f t="shared" si="143"/>
        <v>1530469381</v>
      </c>
      <c r="R586" s="101">
        <f t="shared" si="144"/>
        <v>32994050</v>
      </c>
      <c r="S586" s="144">
        <v>0</v>
      </c>
      <c r="T586" s="151">
        <f t="shared" si="151"/>
        <v>0</v>
      </c>
      <c r="U586" s="27" t="str">
        <f t="shared" si="152"/>
        <v>SUBDIRECCION DE GESTION CONTRACTUAL</v>
      </c>
      <c r="V586" s="151" t="str">
        <f t="shared" si="153"/>
        <v>CO-DC</v>
      </c>
      <c r="W586" s="151" t="str">
        <f t="shared" si="154"/>
        <v>Distrito Capital de Bogotá</v>
      </c>
      <c r="X586" s="178" t="s">
        <v>129</v>
      </c>
      <c r="Y586" s="104">
        <v>2427400</v>
      </c>
      <c r="Z586" s="89" t="s">
        <v>130</v>
      </c>
    </row>
    <row r="587" spans="1:26" s="61" customFormat="1" ht="13.9" hidden="1" customHeight="1" x14ac:dyDescent="0.2">
      <c r="A587" s="171" t="s">
        <v>647</v>
      </c>
      <c r="B587" s="104">
        <v>29</v>
      </c>
      <c r="C587" s="134" t="s">
        <v>662</v>
      </c>
      <c r="D587" s="131" t="s">
        <v>123</v>
      </c>
      <c r="E587" s="132">
        <v>616611423</v>
      </c>
      <c r="F587" s="132">
        <f>699806076.4+100000000.6</f>
        <v>799806077</v>
      </c>
      <c r="G587" s="132"/>
      <c r="H587" s="94" t="s">
        <v>127</v>
      </c>
      <c r="I587" s="134" t="s">
        <v>694</v>
      </c>
      <c r="J587" s="104">
        <v>1</v>
      </c>
      <c r="K587" s="104">
        <v>1</v>
      </c>
      <c r="L587" s="104">
        <v>7</v>
      </c>
      <c r="M587" s="91">
        <f t="shared" si="149"/>
        <v>1</v>
      </c>
      <c r="N587" s="98" t="s">
        <v>87</v>
      </c>
      <c r="O587" s="99" t="s">
        <v>88</v>
      </c>
      <c r="P587" s="151">
        <f t="shared" si="150"/>
        <v>1</v>
      </c>
      <c r="Q587" s="101">
        <f t="shared" si="143"/>
        <v>1416417500</v>
      </c>
      <c r="R587" s="101">
        <f t="shared" si="144"/>
        <v>799806077</v>
      </c>
      <c r="S587" s="144" t="s">
        <v>56</v>
      </c>
      <c r="T587" s="151">
        <f t="shared" si="151"/>
        <v>0</v>
      </c>
      <c r="U587" s="27" t="str">
        <f t="shared" si="152"/>
        <v>SUBDIRECCION DE GESTION CONTRACTUAL</v>
      </c>
      <c r="V587" s="91" t="str">
        <f t="shared" si="153"/>
        <v>CO-DC</v>
      </c>
      <c r="W587" s="27" t="str">
        <f t="shared" si="154"/>
        <v>Distrito Capital de Bogotá</v>
      </c>
      <c r="X587" s="131" t="s">
        <v>129</v>
      </c>
      <c r="Y587" s="104">
        <v>2427400</v>
      </c>
      <c r="Z587" s="133" t="s">
        <v>130</v>
      </c>
    </row>
    <row r="588" spans="1:26" s="61" customFormat="1" ht="13.9" hidden="1" customHeight="1" x14ac:dyDescent="0.2">
      <c r="A588" s="171" t="s">
        <v>647</v>
      </c>
      <c r="B588" s="104">
        <v>30</v>
      </c>
      <c r="C588" s="134" t="s">
        <v>662</v>
      </c>
      <c r="D588" s="131" t="s">
        <v>123</v>
      </c>
      <c r="E588" s="132"/>
      <c r="F588" s="132">
        <f>284774390+148042037+485258-433301685</f>
        <v>0</v>
      </c>
      <c r="G588" s="132"/>
      <c r="H588" s="94" t="s">
        <v>127</v>
      </c>
      <c r="I588" s="134" t="s">
        <v>695</v>
      </c>
      <c r="J588" s="104">
        <v>7</v>
      </c>
      <c r="K588" s="104">
        <v>7</v>
      </c>
      <c r="L588" s="104">
        <v>12</v>
      </c>
      <c r="M588" s="91">
        <f t="shared" si="149"/>
        <v>1</v>
      </c>
      <c r="N588" s="98" t="s">
        <v>87</v>
      </c>
      <c r="O588" s="99" t="s">
        <v>88</v>
      </c>
      <c r="P588" s="151">
        <f t="shared" si="150"/>
        <v>1</v>
      </c>
      <c r="Q588" s="101">
        <f t="shared" si="143"/>
        <v>0</v>
      </c>
      <c r="R588" s="101">
        <f t="shared" si="144"/>
        <v>0</v>
      </c>
      <c r="S588" s="144" t="s">
        <v>366</v>
      </c>
      <c r="T588" s="151">
        <f t="shared" si="151"/>
        <v>3</v>
      </c>
      <c r="U588" s="27" t="str">
        <f t="shared" si="152"/>
        <v>SUBDIRECCION DE GESTION CONTRACTUAL</v>
      </c>
      <c r="V588" s="91" t="str">
        <f t="shared" si="153"/>
        <v>CO-DC</v>
      </c>
      <c r="W588" s="27" t="str">
        <f t="shared" si="154"/>
        <v>Distrito Capital de Bogotá</v>
      </c>
      <c r="X588" s="131" t="s">
        <v>196</v>
      </c>
      <c r="Y588" s="104">
        <v>2427400</v>
      </c>
      <c r="Z588" s="133" t="s">
        <v>676</v>
      </c>
    </row>
    <row r="589" spans="1:26" s="61" customFormat="1" ht="13.9" hidden="1" customHeight="1" x14ac:dyDescent="0.2">
      <c r="A589" s="171" t="s">
        <v>647</v>
      </c>
      <c r="B589" s="104">
        <v>31</v>
      </c>
      <c r="C589" s="134" t="s">
        <v>662</v>
      </c>
      <c r="D589" s="131" t="s">
        <v>133</v>
      </c>
      <c r="E589" s="132">
        <v>1721666</v>
      </c>
      <c r="F589" s="132">
        <v>20251978</v>
      </c>
      <c r="G589" s="132"/>
      <c r="H589" s="131" t="s">
        <v>696</v>
      </c>
      <c r="I589" s="134" t="s">
        <v>697</v>
      </c>
      <c r="J589" s="104">
        <v>1</v>
      </c>
      <c r="K589" s="104">
        <v>1</v>
      </c>
      <c r="L589" s="104">
        <v>11</v>
      </c>
      <c r="M589" s="91">
        <f t="shared" si="149"/>
        <v>1</v>
      </c>
      <c r="N589" s="98" t="s">
        <v>100</v>
      </c>
      <c r="O589" s="99" t="s">
        <v>101</v>
      </c>
      <c r="P589" s="151">
        <f t="shared" si="150"/>
        <v>1</v>
      </c>
      <c r="Q589" s="101">
        <f t="shared" si="143"/>
        <v>21973644</v>
      </c>
      <c r="R589" s="101">
        <f t="shared" si="144"/>
        <v>20251978</v>
      </c>
      <c r="S589" s="144" t="s">
        <v>56</v>
      </c>
      <c r="T589" s="151">
        <f t="shared" si="151"/>
        <v>0</v>
      </c>
      <c r="U589" s="27" t="str">
        <f t="shared" si="152"/>
        <v>SUBDIRECCION DE GESTION CONTRACTUAL</v>
      </c>
      <c r="V589" s="151" t="str">
        <f t="shared" si="153"/>
        <v>CO-DC</v>
      </c>
      <c r="W589" s="151" t="str">
        <f t="shared" si="154"/>
        <v>Distrito Capital de Bogotá</v>
      </c>
      <c r="X589" s="131" t="s">
        <v>129</v>
      </c>
      <c r="Y589" s="104">
        <v>2427400</v>
      </c>
      <c r="Z589" s="133" t="s">
        <v>130</v>
      </c>
    </row>
    <row r="590" spans="1:26" s="61" customFormat="1" ht="13.9" hidden="1" customHeight="1" x14ac:dyDescent="0.2">
      <c r="A590" s="171" t="s">
        <v>647</v>
      </c>
      <c r="B590" s="104">
        <v>32</v>
      </c>
      <c r="C590" s="134" t="s">
        <v>662</v>
      </c>
      <c r="D590" s="131" t="s">
        <v>133</v>
      </c>
      <c r="E590" s="132"/>
      <c r="F590" s="132">
        <f>5328198-4000000</f>
        <v>1328198</v>
      </c>
      <c r="G590" s="179">
        <v>15048484</v>
      </c>
      <c r="H590" s="131" t="s">
        <v>696</v>
      </c>
      <c r="I590" s="134" t="s">
        <v>698</v>
      </c>
      <c r="J590" s="104">
        <v>10</v>
      </c>
      <c r="K590" s="104">
        <v>12</v>
      </c>
      <c r="L590" s="104">
        <v>12</v>
      </c>
      <c r="M590" s="91">
        <f t="shared" si="149"/>
        <v>1</v>
      </c>
      <c r="N590" s="98" t="s">
        <v>100</v>
      </c>
      <c r="O590" s="99" t="s">
        <v>101</v>
      </c>
      <c r="P590" s="151">
        <f t="shared" si="150"/>
        <v>1</v>
      </c>
      <c r="Q590" s="101">
        <f t="shared" si="143"/>
        <v>16376682</v>
      </c>
      <c r="R590" s="101">
        <f t="shared" si="144"/>
        <v>1328198</v>
      </c>
      <c r="S590" s="144" t="s">
        <v>366</v>
      </c>
      <c r="T590" s="151">
        <f t="shared" ref="T590" si="155">IF(ISBLANK(S590),"",IF(VALUE(S590)=0,0,IF(VALUE(S590)=1,3,"")))</f>
        <v>3</v>
      </c>
      <c r="U590" s="27" t="str">
        <f t="shared" si="152"/>
        <v>SUBDIRECCION DE GESTION CONTRACTUAL</v>
      </c>
      <c r="V590" s="151" t="str">
        <f t="shared" si="153"/>
        <v>CO-DC</v>
      </c>
      <c r="W590" s="151" t="str">
        <f t="shared" si="154"/>
        <v>Distrito Capital de Bogotá</v>
      </c>
      <c r="X590" s="131" t="s">
        <v>129</v>
      </c>
      <c r="Y590" s="104">
        <v>2427400</v>
      </c>
      <c r="Z590" s="133" t="s">
        <v>130</v>
      </c>
    </row>
    <row r="591" spans="1:26" s="61" customFormat="1" ht="13.9" hidden="1" customHeight="1" x14ac:dyDescent="0.2">
      <c r="A591" s="171" t="s">
        <v>647</v>
      </c>
      <c r="B591" s="104">
        <v>33</v>
      </c>
      <c r="C591" s="134" t="s">
        <v>662</v>
      </c>
      <c r="D591" s="131" t="s">
        <v>133</v>
      </c>
      <c r="E591" s="132"/>
      <c r="F591" s="132">
        <f>91879901+10000000</f>
        <v>101879901</v>
      </c>
      <c r="G591" s="132"/>
      <c r="H591" s="131" t="s">
        <v>699</v>
      </c>
      <c r="I591" s="134" t="s">
        <v>700</v>
      </c>
      <c r="J591" s="104">
        <v>2</v>
      </c>
      <c r="K591" s="104">
        <v>3</v>
      </c>
      <c r="L591" s="104">
        <v>9</v>
      </c>
      <c r="M591" s="91">
        <f t="shared" si="149"/>
        <v>1</v>
      </c>
      <c r="N591" s="98" t="s">
        <v>64</v>
      </c>
      <c r="O591" s="99" t="s">
        <v>65</v>
      </c>
      <c r="P591" s="151">
        <f t="shared" si="150"/>
        <v>1</v>
      </c>
      <c r="Q591" s="101">
        <f t="shared" ref="Q591:Q611" si="156">+E591+F591+G591</f>
        <v>101879901</v>
      </c>
      <c r="R591" s="101">
        <f t="shared" ref="R591:R611" si="157">+F591</f>
        <v>101879901</v>
      </c>
      <c r="S591" s="144" t="s">
        <v>56</v>
      </c>
      <c r="T591" s="151">
        <f t="shared" si="151"/>
        <v>0</v>
      </c>
      <c r="U591" s="27" t="str">
        <f t="shared" si="152"/>
        <v>SUBDIRECCION DE GESTION CONTRACTUAL</v>
      </c>
      <c r="V591" s="151" t="str">
        <f t="shared" si="153"/>
        <v>CO-DC</v>
      </c>
      <c r="W591" s="151" t="str">
        <f t="shared" si="154"/>
        <v>Distrito Capital de Bogotá</v>
      </c>
      <c r="X591" s="131" t="s">
        <v>129</v>
      </c>
      <c r="Y591" s="104">
        <v>2427400</v>
      </c>
      <c r="Z591" s="133" t="s">
        <v>130</v>
      </c>
    </row>
    <row r="592" spans="1:26" s="61" customFormat="1" ht="13.9" hidden="1" customHeight="1" x14ac:dyDescent="0.2">
      <c r="A592" s="171" t="s">
        <v>647</v>
      </c>
      <c r="B592" s="104">
        <v>34</v>
      </c>
      <c r="C592" s="134" t="s">
        <v>662</v>
      </c>
      <c r="D592" s="131" t="s">
        <v>133</v>
      </c>
      <c r="E592" s="132"/>
      <c r="F592" s="132">
        <f>2289210*11-6867630</f>
        <v>18313680</v>
      </c>
      <c r="G592" s="132"/>
      <c r="H592" s="131">
        <v>72101506</v>
      </c>
      <c r="I592" s="134" t="s">
        <v>701</v>
      </c>
      <c r="J592" s="104">
        <v>2</v>
      </c>
      <c r="K592" s="104">
        <v>2</v>
      </c>
      <c r="L592" s="104">
        <v>11</v>
      </c>
      <c r="M592" s="91">
        <f t="shared" si="149"/>
        <v>1</v>
      </c>
      <c r="N592" s="98" t="s">
        <v>64</v>
      </c>
      <c r="O592" s="99" t="s">
        <v>65</v>
      </c>
      <c r="P592" s="151">
        <f t="shared" si="150"/>
        <v>1</v>
      </c>
      <c r="Q592" s="101">
        <f t="shared" si="156"/>
        <v>18313680</v>
      </c>
      <c r="R592" s="101">
        <f t="shared" si="157"/>
        <v>18313680</v>
      </c>
      <c r="S592" s="144" t="s">
        <v>56</v>
      </c>
      <c r="T592" s="151">
        <f t="shared" si="151"/>
        <v>0</v>
      </c>
      <c r="U592" s="27" t="str">
        <f t="shared" si="152"/>
        <v>SUBDIRECCION DE GESTION CONTRACTUAL</v>
      </c>
      <c r="V592" s="151" t="str">
        <f t="shared" si="153"/>
        <v>CO-DC</v>
      </c>
      <c r="W592" s="151" t="str">
        <f t="shared" si="154"/>
        <v>Distrito Capital de Bogotá</v>
      </c>
      <c r="X592" s="131" t="s">
        <v>129</v>
      </c>
      <c r="Y592" s="104">
        <v>2427400</v>
      </c>
      <c r="Z592" s="133" t="s">
        <v>130</v>
      </c>
    </row>
    <row r="593" spans="1:26" s="61" customFormat="1" ht="13.9" hidden="1" customHeight="1" x14ac:dyDescent="0.2">
      <c r="A593" s="171" t="s">
        <v>647</v>
      </c>
      <c r="B593" s="104">
        <v>35</v>
      </c>
      <c r="C593" s="134" t="s">
        <v>662</v>
      </c>
      <c r="D593" s="131" t="s">
        <v>133</v>
      </c>
      <c r="E593" s="132">
        <v>5564669</v>
      </c>
      <c r="F593" s="132">
        <v>55646690</v>
      </c>
      <c r="G593" s="132"/>
      <c r="H593" s="131" t="s">
        <v>134</v>
      </c>
      <c r="I593" s="134" t="s">
        <v>702</v>
      </c>
      <c r="J593" s="104">
        <v>1</v>
      </c>
      <c r="K593" s="104">
        <v>1</v>
      </c>
      <c r="L593" s="104">
        <v>11</v>
      </c>
      <c r="M593" s="91">
        <f t="shared" si="149"/>
        <v>1</v>
      </c>
      <c r="N593" s="98" t="s">
        <v>100</v>
      </c>
      <c r="O593" s="99" t="s">
        <v>101</v>
      </c>
      <c r="P593" s="151">
        <f t="shared" si="150"/>
        <v>1</v>
      </c>
      <c r="Q593" s="101">
        <f t="shared" si="156"/>
        <v>61211359</v>
      </c>
      <c r="R593" s="101">
        <f t="shared" si="157"/>
        <v>55646690</v>
      </c>
      <c r="S593" s="144" t="s">
        <v>56</v>
      </c>
      <c r="T593" s="151">
        <f t="shared" si="151"/>
        <v>0</v>
      </c>
      <c r="U593" s="27" t="str">
        <f t="shared" si="152"/>
        <v>SUBDIRECCION DE GESTION CONTRACTUAL</v>
      </c>
      <c r="V593" s="151" t="str">
        <f t="shared" si="153"/>
        <v>CO-DC</v>
      </c>
      <c r="W593" s="151" t="str">
        <f t="shared" si="154"/>
        <v>Distrito Capital de Bogotá</v>
      </c>
      <c r="X593" s="131" t="s">
        <v>136</v>
      </c>
      <c r="Y593" s="104">
        <v>2427400</v>
      </c>
      <c r="Z593" s="133" t="s">
        <v>137</v>
      </c>
    </row>
    <row r="594" spans="1:26" s="61" customFormat="1" ht="13.9" hidden="1" customHeight="1" x14ac:dyDescent="0.2">
      <c r="A594" s="171" t="s">
        <v>647</v>
      </c>
      <c r="B594" s="104">
        <v>36</v>
      </c>
      <c r="C594" s="134" t="s">
        <v>662</v>
      </c>
      <c r="D594" s="131" t="s">
        <v>133</v>
      </c>
      <c r="E594" s="132"/>
      <c r="F594" s="132">
        <f>12700000-7135331</f>
        <v>5564669</v>
      </c>
      <c r="G594" s="179">
        <v>63047699</v>
      </c>
      <c r="H594" s="131">
        <v>78181500</v>
      </c>
      <c r="I594" s="134" t="s">
        <v>703</v>
      </c>
      <c r="J594" s="104">
        <v>11</v>
      </c>
      <c r="K594" s="104">
        <v>12</v>
      </c>
      <c r="L594" s="104">
        <v>12</v>
      </c>
      <c r="M594" s="91">
        <f t="shared" si="149"/>
        <v>1</v>
      </c>
      <c r="N594" s="98" t="s">
        <v>87</v>
      </c>
      <c r="O594" s="99" t="s">
        <v>88</v>
      </c>
      <c r="P594" s="151">
        <f t="shared" si="150"/>
        <v>1</v>
      </c>
      <c r="Q594" s="101">
        <f t="shared" si="156"/>
        <v>68612368</v>
      </c>
      <c r="R594" s="101">
        <f t="shared" si="157"/>
        <v>5564669</v>
      </c>
      <c r="S594" s="144" t="s">
        <v>366</v>
      </c>
      <c r="T594" s="151">
        <f t="shared" si="151"/>
        <v>3</v>
      </c>
      <c r="U594" s="27" t="str">
        <f t="shared" si="152"/>
        <v>SUBDIRECCION DE GESTION CONTRACTUAL</v>
      </c>
      <c r="V594" s="151" t="str">
        <f t="shared" si="153"/>
        <v>CO-DC</v>
      </c>
      <c r="W594" s="151" t="str">
        <f t="shared" si="154"/>
        <v>Distrito Capital de Bogotá</v>
      </c>
      <c r="X594" s="178" t="s">
        <v>129</v>
      </c>
      <c r="Y594" s="104">
        <v>2427400</v>
      </c>
      <c r="Z594" s="89" t="s">
        <v>130</v>
      </c>
    </row>
    <row r="595" spans="1:26" s="61" customFormat="1" ht="13.9" hidden="1" customHeight="1" x14ac:dyDescent="0.2">
      <c r="A595" s="171" t="s">
        <v>647</v>
      </c>
      <c r="B595" s="104">
        <v>37</v>
      </c>
      <c r="C595" s="134" t="s">
        <v>662</v>
      </c>
      <c r="D595" s="131" t="s">
        <v>133</v>
      </c>
      <c r="E595" s="132">
        <v>8550524</v>
      </c>
      <c r="F595" s="132">
        <v>85505239</v>
      </c>
      <c r="G595" s="132"/>
      <c r="H595" s="131" t="s">
        <v>134</v>
      </c>
      <c r="I595" s="134" t="s">
        <v>704</v>
      </c>
      <c r="J595" s="104">
        <v>1</v>
      </c>
      <c r="K595" s="104">
        <v>1</v>
      </c>
      <c r="L595" s="104">
        <v>11</v>
      </c>
      <c r="M595" s="91">
        <f t="shared" si="149"/>
        <v>1</v>
      </c>
      <c r="N595" s="98" t="s">
        <v>87</v>
      </c>
      <c r="O595" s="99" t="s">
        <v>88</v>
      </c>
      <c r="P595" s="151">
        <f t="shared" si="150"/>
        <v>1</v>
      </c>
      <c r="Q595" s="101">
        <f t="shared" si="156"/>
        <v>94055763</v>
      </c>
      <c r="R595" s="101">
        <f t="shared" si="157"/>
        <v>85505239</v>
      </c>
      <c r="S595" s="144" t="s">
        <v>56</v>
      </c>
      <c r="T595" s="151">
        <f t="shared" si="151"/>
        <v>0</v>
      </c>
      <c r="U595" s="27" t="str">
        <f t="shared" si="152"/>
        <v>SUBDIRECCION DE GESTION CONTRACTUAL</v>
      </c>
      <c r="V595" s="151" t="str">
        <f t="shared" si="153"/>
        <v>CO-DC</v>
      </c>
      <c r="W595" s="151" t="str">
        <f t="shared" si="154"/>
        <v>Distrito Capital de Bogotá</v>
      </c>
      <c r="X595" s="131" t="s">
        <v>136</v>
      </c>
      <c r="Y595" s="104">
        <v>2427400</v>
      </c>
      <c r="Z595" s="133" t="s">
        <v>137</v>
      </c>
    </row>
    <row r="596" spans="1:26" s="61" customFormat="1" ht="13.9" hidden="1" customHeight="1" x14ac:dyDescent="0.2">
      <c r="A596" s="171" t="s">
        <v>647</v>
      </c>
      <c r="B596" s="104">
        <v>38</v>
      </c>
      <c r="C596" s="134" t="s">
        <v>662</v>
      </c>
      <c r="D596" s="131" t="s">
        <v>133</v>
      </c>
      <c r="E596" s="132">
        <v>1000000</v>
      </c>
      <c r="F596" s="132">
        <v>10000000</v>
      </c>
      <c r="G596" s="132"/>
      <c r="H596" s="131" t="s">
        <v>134</v>
      </c>
      <c r="I596" s="134" t="s">
        <v>705</v>
      </c>
      <c r="J596" s="104">
        <v>1</v>
      </c>
      <c r="K596" s="104">
        <v>1</v>
      </c>
      <c r="L596" s="104">
        <v>11</v>
      </c>
      <c r="M596" s="91">
        <f t="shared" si="149"/>
        <v>1</v>
      </c>
      <c r="N596" s="98" t="s">
        <v>87</v>
      </c>
      <c r="O596" s="99" t="s">
        <v>88</v>
      </c>
      <c r="P596" s="151">
        <f t="shared" si="150"/>
        <v>1</v>
      </c>
      <c r="Q596" s="101">
        <f t="shared" si="156"/>
        <v>11000000</v>
      </c>
      <c r="R596" s="101">
        <f t="shared" si="157"/>
        <v>10000000</v>
      </c>
      <c r="S596" s="144" t="s">
        <v>56</v>
      </c>
      <c r="T596" s="151">
        <f t="shared" si="151"/>
        <v>0</v>
      </c>
      <c r="U596" s="27" t="str">
        <f t="shared" si="152"/>
        <v>SUBDIRECCION DE GESTION CONTRACTUAL</v>
      </c>
      <c r="V596" s="151" t="str">
        <f t="shared" si="153"/>
        <v>CO-DC</v>
      </c>
      <c r="W596" s="151" t="str">
        <f t="shared" si="154"/>
        <v>Distrito Capital de Bogotá</v>
      </c>
      <c r="X596" s="131" t="s">
        <v>136</v>
      </c>
      <c r="Y596" s="104">
        <v>2427400</v>
      </c>
      <c r="Z596" s="133" t="s">
        <v>137</v>
      </c>
    </row>
    <row r="597" spans="1:26" s="61" customFormat="1" ht="13.9" hidden="1" customHeight="1" x14ac:dyDescent="0.2">
      <c r="A597" s="171" t="s">
        <v>647</v>
      </c>
      <c r="B597" s="104">
        <v>39</v>
      </c>
      <c r="C597" s="134" t="s">
        <v>662</v>
      </c>
      <c r="D597" s="131" t="s">
        <v>133</v>
      </c>
      <c r="E597" s="132">
        <v>1000000</v>
      </c>
      <c r="F597" s="132">
        <v>10000000</v>
      </c>
      <c r="G597" s="132"/>
      <c r="H597" s="131" t="s">
        <v>134</v>
      </c>
      <c r="I597" s="134" t="s">
        <v>706</v>
      </c>
      <c r="J597" s="104">
        <v>1</v>
      </c>
      <c r="K597" s="104">
        <v>1</v>
      </c>
      <c r="L597" s="104">
        <v>11</v>
      </c>
      <c r="M597" s="91">
        <f t="shared" si="149"/>
        <v>1</v>
      </c>
      <c r="N597" s="98" t="s">
        <v>87</v>
      </c>
      <c r="O597" s="99" t="s">
        <v>88</v>
      </c>
      <c r="P597" s="151">
        <f t="shared" si="150"/>
        <v>1</v>
      </c>
      <c r="Q597" s="101">
        <f t="shared" si="156"/>
        <v>11000000</v>
      </c>
      <c r="R597" s="101">
        <f t="shared" si="157"/>
        <v>10000000</v>
      </c>
      <c r="S597" s="144" t="s">
        <v>56</v>
      </c>
      <c r="T597" s="151">
        <f t="shared" si="151"/>
        <v>0</v>
      </c>
      <c r="U597" s="27" t="str">
        <f t="shared" si="152"/>
        <v>SUBDIRECCION DE GESTION CONTRACTUAL</v>
      </c>
      <c r="V597" s="151" t="str">
        <f t="shared" si="153"/>
        <v>CO-DC</v>
      </c>
      <c r="W597" s="151" t="str">
        <f t="shared" si="154"/>
        <v>Distrito Capital de Bogotá</v>
      </c>
      <c r="X597" s="131" t="s">
        <v>136</v>
      </c>
      <c r="Y597" s="104">
        <v>2427400</v>
      </c>
      <c r="Z597" s="133" t="s">
        <v>137</v>
      </c>
    </row>
    <row r="598" spans="1:26" s="61" customFormat="1" ht="13.9" hidden="1" customHeight="1" x14ac:dyDescent="0.2">
      <c r="A598" s="171" t="s">
        <v>647</v>
      </c>
      <c r="B598" s="104">
        <v>40</v>
      </c>
      <c r="C598" s="134" t="s">
        <v>662</v>
      </c>
      <c r="D598" s="131" t="s">
        <v>133</v>
      </c>
      <c r="E598" s="132">
        <v>1200000</v>
      </c>
      <c r="F598" s="132">
        <v>12000000</v>
      </c>
      <c r="G598" s="132"/>
      <c r="H598" s="131" t="s">
        <v>134</v>
      </c>
      <c r="I598" s="134" t="s">
        <v>707</v>
      </c>
      <c r="J598" s="104">
        <v>1</v>
      </c>
      <c r="K598" s="104">
        <v>1</v>
      </c>
      <c r="L598" s="104">
        <v>11</v>
      </c>
      <c r="M598" s="91">
        <f t="shared" si="149"/>
        <v>1</v>
      </c>
      <c r="N598" s="98" t="s">
        <v>87</v>
      </c>
      <c r="O598" s="99" t="s">
        <v>88</v>
      </c>
      <c r="P598" s="151">
        <f t="shared" si="150"/>
        <v>1</v>
      </c>
      <c r="Q598" s="101">
        <f t="shared" si="156"/>
        <v>13200000</v>
      </c>
      <c r="R598" s="101">
        <f t="shared" si="157"/>
        <v>12000000</v>
      </c>
      <c r="S598" s="144" t="s">
        <v>56</v>
      </c>
      <c r="T598" s="151">
        <f t="shared" si="151"/>
        <v>0</v>
      </c>
      <c r="U598" s="27" t="str">
        <f t="shared" si="152"/>
        <v>SUBDIRECCION DE GESTION CONTRACTUAL</v>
      </c>
      <c r="V598" s="151" t="str">
        <f t="shared" si="153"/>
        <v>CO-DC</v>
      </c>
      <c r="W598" s="151" t="str">
        <f t="shared" si="154"/>
        <v>Distrito Capital de Bogotá</v>
      </c>
      <c r="X598" s="131" t="s">
        <v>136</v>
      </c>
      <c r="Y598" s="104">
        <v>2427400</v>
      </c>
      <c r="Z598" s="133" t="s">
        <v>137</v>
      </c>
    </row>
    <row r="599" spans="1:26" s="61" customFormat="1" ht="13.9" hidden="1" customHeight="1" x14ac:dyDescent="0.2">
      <c r="A599" s="171" t="s">
        <v>647</v>
      </c>
      <c r="B599" s="104">
        <v>41</v>
      </c>
      <c r="C599" s="134" t="s">
        <v>662</v>
      </c>
      <c r="D599" s="131" t="s">
        <v>133</v>
      </c>
      <c r="E599" s="132">
        <v>1145296</v>
      </c>
      <c r="F599" s="132">
        <v>11452963</v>
      </c>
      <c r="G599" s="132"/>
      <c r="H599" s="131" t="s">
        <v>134</v>
      </c>
      <c r="I599" s="134" t="s">
        <v>708</v>
      </c>
      <c r="J599" s="104">
        <v>1</v>
      </c>
      <c r="K599" s="104">
        <v>1</v>
      </c>
      <c r="L599" s="104">
        <v>11</v>
      </c>
      <c r="M599" s="91">
        <f t="shared" si="149"/>
        <v>1</v>
      </c>
      <c r="N599" s="98" t="s">
        <v>87</v>
      </c>
      <c r="O599" s="99" t="s">
        <v>88</v>
      </c>
      <c r="P599" s="151">
        <f t="shared" si="150"/>
        <v>1</v>
      </c>
      <c r="Q599" s="101">
        <f t="shared" si="156"/>
        <v>12598259</v>
      </c>
      <c r="R599" s="101">
        <f t="shared" si="157"/>
        <v>11452963</v>
      </c>
      <c r="S599" s="144" t="s">
        <v>56</v>
      </c>
      <c r="T599" s="151">
        <f t="shared" si="151"/>
        <v>0</v>
      </c>
      <c r="U599" s="27" t="str">
        <f t="shared" si="152"/>
        <v>SUBDIRECCION DE GESTION CONTRACTUAL</v>
      </c>
      <c r="V599" s="151" t="str">
        <f t="shared" si="153"/>
        <v>CO-DC</v>
      </c>
      <c r="W599" s="151" t="str">
        <f t="shared" si="154"/>
        <v>Distrito Capital de Bogotá</v>
      </c>
      <c r="X599" s="131" t="s">
        <v>136</v>
      </c>
      <c r="Y599" s="104">
        <v>2427400</v>
      </c>
      <c r="Z599" s="133" t="s">
        <v>137</v>
      </c>
    </row>
    <row r="600" spans="1:26" s="61" customFormat="1" ht="13.9" hidden="1" customHeight="1" x14ac:dyDescent="0.2">
      <c r="A600" s="171" t="s">
        <v>647</v>
      </c>
      <c r="B600" s="104">
        <v>42</v>
      </c>
      <c r="C600" s="134" t="s">
        <v>662</v>
      </c>
      <c r="D600" s="131" t="s">
        <v>133</v>
      </c>
      <c r="E600" s="132">
        <v>3000000</v>
      </c>
      <c r="F600" s="132">
        <v>30000000</v>
      </c>
      <c r="G600" s="132"/>
      <c r="H600" s="131" t="s">
        <v>134</v>
      </c>
      <c r="I600" s="134" t="s">
        <v>709</v>
      </c>
      <c r="J600" s="104">
        <v>1</v>
      </c>
      <c r="K600" s="104">
        <v>1</v>
      </c>
      <c r="L600" s="104">
        <v>11</v>
      </c>
      <c r="M600" s="91">
        <f t="shared" si="149"/>
        <v>1</v>
      </c>
      <c r="N600" s="98" t="s">
        <v>87</v>
      </c>
      <c r="O600" s="99" t="s">
        <v>88</v>
      </c>
      <c r="P600" s="151">
        <f t="shared" si="150"/>
        <v>1</v>
      </c>
      <c r="Q600" s="101">
        <f t="shared" si="156"/>
        <v>33000000</v>
      </c>
      <c r="R600" s="101">
        <f t="shared" si="157"/>
        <v>30000000</v>
      </c>
      <c r="S600" s="144" t="s">
        <v>56</v>
      </c>
      <c r="T600" s="151">
        <f t="shared" si="151"/>
        <v>0</v>
      </c>
      <c r="U600" s="27" t="str">
        <f t="shared" si="152"/>
        <v>SUBDIRECCION DE GESTION CONTRACTUAL</v>
      </c>
      <c r="V600" s="151" t="str">
        <f t="shared" si="153"/>
        <v>CO-DC</v>
      </c>
      <c r="W600" s="151" t="str">
        <f t="shared" si="154"/>
        <v>Distrito Capital de Bogotá</v>
      </c>
      <c r="X600" s="131" t="s">
        <v>136</v>
      </c>
      <c r="Y600" s="104">
        <v>2427400</v>
      </c>
      <c r="Z600" s="133" t="s">
        <v>137</v>
      </c>
    </row>
    <row r="601" spans="1:26" s="61" customFormat="1" ht="13.9" hidden="1" customHeight="1" x14ac:dyDescent="0.2">
      <c r="A601" s="171" t="s">
        <v>647</v>
      </c>
      <c r="B601" s="104">
        <v>43</v>
      </c>
      <c r="C601" s="134" t="s">
        <v>662</v>
      </c>
      <c r="D601" s="131" t="s">
        <v>133</v>
      </c>
      <c r="E601" s="132">
        <f>7672731+1200000</f>
        <v>8872731</v>
      </c>
      <c r="F601" s="132">
        <v>88727312</v>
      </c>
      <c r="G601" s="132"/>
      <c r="H601" s="131" t="s">
        <v>134</v>
      </c>
      <c r="I601" s="134" t="s">
        <v>710</v>
      </c>
      <c r="J601" s="104">
        <v>1</v>
      </c>
      <c r="K601" s="104">
        <v>1</v>
      </c>
      <c r="L601" s="104">
        <v>11</v>
      </c>
      <c r="M601" s="91">
        <f t="shared" si="149"/>
        <v>1</v>
      </c>
      <c r="N601" s="98" t="s">
        <v>87</v>
      </c>
      <c r="O601" s="99" t="s">
        <v>88</v>
      </c>
      <c r="P601" s="151">
        <f t="shared" si="150"/>
        <v>1</v>
      </c>
      <c r="Q601" s="101">
        <f t="shared" si="156"/>
        <v>97600043</v>
      </c>
      <c r="R601" s="101">
        <f t="shared" si="157"/>
        <v>88727312</v>
      </c>
      <c r="S601" s="144" t="s">
        <v>56</v>
      </c>
      <c r="T601" s="151">
        <f t="shared" si="151"/>
        <v>0</v>
      </c>
      <c r="U601" s="27" t="str">
        <f t="shared" si="152"/>
        <v>SUBDIRECCION DE GESTION CONTRACTUAL</v>
      </c>
      <c r="V601" s="151" t="str">
        <f t="shared" si="153"/>
        <v>CO-DC</v>
      </c>
      <c r="W601" s="151" t="str">
        <f t="shared" si="154"/>
        <v>Distrito Capital de Bogotá</v>
      </c>
      <c r="X601" s="131" t="s">
        <v>136</v>
      </c>
      <c r="Y601" s="104">
        <v>2427400</v>
      </c>
      <c r="Z601" s="133" t="s">
        <v>137</v>
      </c>
    </row>
    <row r="602" spans="1:26" s="61" customFormat="1" ht="13.9" hidden="1" customHeight="1" x14ac:dyDescent="0.2">
      <c r="A602" s="171" t="s">
        <v>647</v>
      </c>
      <c r="B602" s="104">
        <v>44</v>
      </c>
      <c r="C602" s="134" t="s">
        <v>662</v>
      </c>
      <c r="D602" s="131" t="s">
        <v>133</v>
      </c>
      <c r="E602" s="132">
        <f>1100000*3+1400000</f>
        <v>4700000</v>
      </c>
      <c r="F602" s="132">
        <v>47000000</v>
      </c>
      <c r="G602" s="132"/>
      <c r="H602" s="131" t="s">
        <v>134</v>
      </c>
      <c r="I602" s="134" t="s">
        <v>711</v>
      </c>
      <c r="J602" s="104">
        <v>1</v>
      </c>
      <c r="K602" s="104">
        <v>1</v>
      </c>
      <c r="L602" s="104">
        <v>11</v>
      </c>
      <c r="M602" s="91">
        <f t="shared" si="149"/>
        <v>1</v>
      </c>
      <c r="N602" s="98" t="s">
        <v>87</v>
      </c>
      <c r="O602" s="99" t="s">
        <v>88</v>
      </c>
      <c r="P602" s="151">
        <f t="shared" si="150"/>
        <v>1</v>
      </c>
      <c r="Q602" s="101">
        <f t="shared" si="156"/>
        <v>51700000</v>
      </c>
      <c r="R602" s="101">
        <f t="shared" si="157"/>
        <v>47000000</v>
      </c>
      <c r="S602" s="144" t="s">
        <v>56</v>
      </c>
      <c r="T602" s="151">
        <f t="shared" si="151"/>
        <v>0</v>
      </c>
      <c r="U602" s="27" t="str">
        <f t="shared" si="152"/>
        <v>SUBDIRECCION DE GESTION CONTRACTUAL</v>
      </c>
      <c r="V602" s="151" t="str">
        <f t="shared" si="153"/>
        <v>CO-DC</v>
      </c>
      <c r="W602" s="151" t="str">
        <f t="shared" si="154"/>
        <v>Distrito Capital de Bogotá</v>
      </c>
      <c r="X602" s="131" t="s">
        <v>136</v>
      </c>
      <c r="Y602" s="104">
        <v>2427400</v>
      </c>
      <c r="Z602" s="133" t="s">
        <v>137</v>
      </c>
    </row>
    <row r="603" spans="1:26" s="61" customFormat="1" ht="13.9" hidden="1" customHeight="1" x14ac:dyDescent="0.2">
      <c r="A603" s="171" t="s">
        <v>647</v>
      </c>
      <c r="B603" s="104">
        <v>45</v>
      </c>
      <c r="C603" s="134" t="s">
        <v>662</v>
      </c>
      <c r="D603" s="131" t="s">
        <v>133</v>
      </c>
      <c r="E603" s="132">
        <f>1100000*2</f>
        <v>2200000</v>
      </c>
      <c r="F603" s="132">
        <v>22000000</v>
      </c>
      <c r="G603" s="132"/>
      <c r="H603" s="131" t="s">
        <v>134</v>
      </c>
      <c r="I603" s="134" t="s">
        <v>712</v>
      </c>
      <c r="J603" s="104">
        <v>1</v>
      </c>
      <c r="K603" s="104">
        <v>1</v>
      </c>
      <c r="L603" s="104">
        <v>11</v>
      </c>
      <c r="M603" s="91">
        <f t="shared" si="149"/>
        <v>1</v>
      </c>
      <c r="N603" s="98" t="s">
        <v>87</v>
      </c>
      <c r="O603" s="99" t="s">
        <v>88</v>
      </c>
      <c r="P603" s="151">
        <f t="shared" si="150"/>
        <v>1</v>
      </c>
      <c r="Q603" s="101">
        <f t="shared" si="156"/>
        <v>24200000</v>
      </c>
      <c r="R603" s="101">
        <f t="shared" si="157"/>
        <v>22000000</v>
      </c>
      <c r="S603" s="144" t="s">
        <v>56</v>
      </c>
      <c r="T603" s="151">
        <f t="shared" si="151"/>
        <v>0</v>
      </c>
      <c r="U603" s="27" t="str">
        <f t="shared" si="152"/>
        <v>SUBDIRECCION DE GESTION CONTRACTUAL</v>
      </c>
      <c r="V603" s="151" t="str">
        <f t="shared" si="153"/>
        <v>CO-DC</v>
      </c>
      <c r="W603" s="151" t="str">
        <f t="shared" si="154"/>
        <v>Distrito Capital de Bogotá</v>
      </c>
      <c r="X603" s="131" t="s">
        <v>136</v>
      </c>
      <c r="Y603" s="104">
        <v>2427400</v>
      </c>
      <c r="Z603" s="133" t="s">
        <v>137</v>
      </c>
    </row>
    <row r="604" spans="1:26" s="61" customFormat="1" ht="13.9" hidden="1" customHeight="1" x14ac:dyDescent="0.2">
      <c r="A604" s="171" t="s">
        <v>647</v>
      </c>
      <c r="B604" s="104">
        <v>46</v>
      </c>
      <c r="C604" s="134" t="s">
        <v>662</v>
      </c>
      <c r="D604" s="131" t="s">
        <v>123</v>
      </c>
      <c r="E604" s="132">
        <v>0</v>
      </c>
      <c r="F604" s="132">
        <f>0+127609803-79034267-37794481</f>
        <v>10781055</v>
      </c>
      <c r="G604" s="179">
        <v>972309202</v>
      </c>
      <c r="H604" s="131" t="s">
        <v>127</v>
      </c>
      <c r="I604" s="134" t="s">
        <v>713</v>
      </c>
      <c r="J604" s="104">
        <v>12</v>
      </c>
      <c r="K604" s="104">
        <v>12</v>
      </c>
      <c r="L604" s="104">
        <v>7</v>
      </c>
      <c r="M604" s="91">
        <f t="shared" si="149"/>
        <v>1</v>
      </c>
      <c r="N604" s="98" t="s">
        <v>87</v>
      </c>
      <c r="O604" s="99" t="s">
        <v>216</v>
      </c>
      <c r="P604" s="151">
        <f t="shared" si="150"/>
        <v>1</v>
      </c>
      <c r="Q604" s="101">
        <f t="shared" si="156"/>
        <v>983090257</v>
      </c>
      <c r="R604" s="101">
        <f t="shared" si="157"/>
        <v>10781055</v>
      </c>
      <c r="S604" s="144" t="s">
        <v>56</v>
      </c>
      <c r="T604" s="151">
        <f t="shared" si="151"/>
        <v>0</v>
      </c>
      <c r="U604" s="27" t="str">
        <f t="shared" si="152"/>
        <v>SUBDIRECCION DE GESTION CONTRACTUAL</v>
      </c>
      <c r="V604" s="151" t="str">
        <f t="shared" si="153"/>
        <v>CO-DC</v>
      </c>
      <c r="W604" s="151" t="str">
        <f t="shared" si="154"/>
        <v>Distrito Capital de Bogotá</v>
      </c>
      <c r="X604" s="131" t="s">
        <v>129</v>
      </c>
      <c r="Y604" s="104">
        <v>2427400</v>
      </c>
      <c r="Z604" s="133" t="s">
        <v>130</v>
      </c>
    </row>
    <row r="605" spans="1:26" s="61" customFormat="1" ht="13.9" hidden="1" customHeight="1" x14ac:dyDescent="0.2">
      <c r="A605" s="171" t="s">
        <v>647</v>
      </c>
      <c r="B605" s="104">
        <v>47</v>
      </c>
      <c r="C605" s="134" t="s">
        <v>662</v>
      </c>
      <c r="D605" s="131" t="s">
        <v>133</v>
      </c>
      <c r="E605" s="132"/>
      <c r="F605" s="132">
        <f>18533351-7000000</f>
        <v>11533351</v>
      </c>
      <c r="G605" s="179">
        <v>130672861</v>
      </c>
      <c r="H605" s="131" t="s">
        <v>134</v>
      </c>
      <c r="I605" s="134" t="s">
        <v>714</v>
      </c>
      <c r="J605" s="104">
        <v>11</v>
      </c>
      <c r="K605" s="104">
        <v>12</v>
      </c>
      <c r="L605" s="104">
        <v>12</v>
      </c>
      <c r="M605" s="91">
        <f t="shared" si="149"/>
        <v>1</v>
      </c>
      <c r="N605" s="144" t="s">
        <v>87</v>
      </c>
      <c r="O605" s="172" t="s">
        <v>88</v>
      </c>
      <c r="P605" s="151">
        <f t="shared" si="150"/>
        <v>1</v>
      </c>
      <c r="Q605" s="101">
        <f t="shared" si="156"/>
        <v>142206212</v>
      </c>
      <c r="R605" s="101">
        <f t="shared" si="157"/>
        <v>11533351</v>
      </c>
      <c r="S605" s="144" t="s">
        <v>56</v>
      </c>
      <c r="T605" s="151">
        <f t="shared" si="151"/>
        <v>0</v>
      </c>
      <c r="U605" s="27" t="str">
        <f t="shared" si="152"/>
        <v>SUBDIRECCION DE GESTION CONTRACTUAL</v>
      </c>
      <c r="V605" s="91" t="str">
        <f t="shared" si="153"/>
        <v>CO-DC</v>
      </c>
      <c r="W605" s="151" t="str">
        <f t="shared" si="154"/>
        <v>Distrito Capital de Bogotá</v>
      </c>
      <c r="X605" s="178" t="s">
        <v>129</v>
      </c>
      <c r="Y605" s="104">
        <v>2427400</v>
      </c>
      <c r="Z605" s="89" t="s">
        <v>130</v>
      </c>
    </row>
    <row r="606" spans="1:26" s="61" customFormat="1" ht="13.9" hidden="1" customHeight="1" x14ac:dyDescent="0.2">
      <c r="A606" s="171" t="s">
        <v>647</v>
      </c>
      <c r="B606" s="104">
        <v>48</v>
      </c>
      <c r="C606" s="134" t="s">
        <v>662</v>
      </c>
      <c r="D606" s="131" t="s">
        <v>715</v>
      </c>
      <c r="E606" s="132"/>
      <c r="F606" s="132">
        <f>26000000</f>
        <v>26000000</v>
      </c>
      <c r="G606" s="132"/>
      <c r="H606" s="131">
        <v>82121700</v>
      </c>
      <c r="I606" s="134" t="s">
        <v>716</v>
      </c>
      <c r="J606" s="104">
        <v>2</v>
      </c>
      <c r="K606" s="104">
        <v>3</v>
      </c>
      <c r="L606" s="104">
        <v>11</v>
      </c>
      <c r="M606" s="91">
        <f t="shared" si="149"/>
        <v>1</v>
      </c>
      <c r="N606" s="98" t="s">
        <v>100</v>
      </c>
      <c r="O606" s="99" t="s">
        <v>101</v>
      </c>
      <c r="P606" s="151">
        <f t="shared" si="150"/>
        <v>1</v>
      </c>
      <c r="Q606" s="101">
        <f t="shared" si="156"/>
        <v>26000000</v>
      </c>
      <c r="R606" s="101">
        <f t="shared" si="157"/>
        <v>26000000</v>
      </c>
      <c r="S606" s="144" t="s">
        <v>56</v>
      </c>
      <c r="T606" s="151">
        <f t="shared" si="151"/>
        <v>0</v>
      </c>
      <c r="U606" s="27" t="str">
        <f t="shared" si="152"/>
        <v>SUBDIRECCION DE GESTION CONTRACTUAL</v>
      </c>
      <c r="V606" s="151" t="str">
        <f t="shared" si="153"/>
        <v>CO-DC</v>
      </c>
      <c r="W606" s="151" t="str">
        <f t="shared" si="154"/>
        <v>Distrito Capital de Bogotá</v>
      </c>
      <c r="X606" s="131" t="s">
        <v>129</v>
      </c>
      <c r="Y606" s="104">
        <v>2427400</v>
      </c>
      <c r="Z606" s="133" t="s">
        <v>130</v>
      </c>
    </row>
    <row r="607" spans="1:26" s="61" customFormat="1" ht="13.9" hidden="1" customHeight="1" x14ac:dyDescent="0.2">
      <c r="A607" s="171" t="s">
        <v>647</v>
      </c>
      <c r="B607" s="104">
        <v>49</v>
      </c>
      <c r="C607" s="134" t="s">
        <v>662</v>
      </c>
      <c r="D607" s="131" t="s">
        <v>717</v>
      </c>
      <c r="E607" s="132"/>
      <c r="F607" s="132">
        <v>11013429</v>
      </c>
      <c r="G607" s="132"/>
      <c r="H607" s="131" t="s">
        <v>199</v>
      </c>
      <c r="I607" s="134" t="s">
        <v>718</v>
      </c>
      <c r="J607" s="104">
        <v>8</v>
      </c>
      <c r="K607" s="104">
        <v>10</v>
      </c>
      <c r="L607" s="104">
        <v>1</v>
      </c>
      <c r="M607" s="91">
        <f t="shared" si="149"/>
        <v>1</v>
      </c>
      <c r="N607" s="98" t="s">
        <v>125</v>
      </c>
      <c r="O607" s="99" t="s">
        <v>126</v>
      </c>
      <c r="P607" s="151">
        <f t="shared" si="150"/>
        <v>1</v>
      </c>
      <c r="Q607" s="101">
        <f t="shared" si="156"/>
        <v>11013429</v>
      </c>
      <c r="R607" s="101">
        <f t="shared" si="157"/>
        <v>11013429</v>
      </c>
      <c r="S607" s="144" t="s">
        <v>56</v>
      </c>
      <c r="T607" s="151">
        <f t="shared" si="151"/>
        <v>0</v>
      </c>
      <c r="U607" s="27" t="str">
        <f t="shared" si="152"/>
        <v>SUBDIRECCION DE GESTION CONTRACTUAL</v>
      </c>
      <c r="V607" s="151" t="str">
        <f t="shared" si="153"/>
        <v>CO-DC</v>
      </c>
      <c r="W607" s="151" t="str">
        <f t="shared" si="154"/>
        <v>Distrito Capital de Bogotá</v>
      </c>
      <c r="X607" s="131" t="s">
        <v>196</v>
      </c>
      <c r="Y607" s="104">
        <v>2427400</v>
      </c>
      <c r="Z607" s="133" t="s">
        <v>197</v>
      </c>
    </row>
    <row r="608" spans="1:26" s="61" customFormat="1" ht="13.9" hidden="1" customHeight="1" x14ac:dyDescent="0.2">
      <c r="A608" s="171" t="s">
        <v>647</v>
      </c>
      <c r="B608" s="104">
        <v>50</v>
      </c>
      <c r="C608" s="134" t="s">
        <v>662</v>
      </c>
      <c r="D608" s="131" t="s">
        <v>719</v>
      </c>
      <c r="E608" s="132">
        <v>23218050</v>
      </c>
      <c r="F608" s="132">
        <v>513351091</v>
      </c>
      <c r="G608" s="132"/>
      <c r="H608" s="131" t="s">
        <v>720</v>
      </c>
      <c r="I608" s="134" t="s">
        <v>721</v>
      </c>
      <c r="J608" s="104">
        <v>1</v>
      </c>
      <c r="K608" s="104">
        <v>1</v>
      </c>
      <c r="L608" s="104">
        <v>8</v>
      </c>
      <c r="M608" s="91">
        <f t="shared" si="149"/>
        <v>1</v>
      </c>
      <c r="N608" s="98" t="s">
        <v>64</v>
      </c>
      <c r="O608" s="99" t="s">
        <v>65</v>
      </c>
      <c r="P608" s="151">
        <f t="shared" si="150"/>
        <v>1</v>
      </c>
      <c r="Q608" s="101">
        <f t="shared" si="156"/>
        <v>536569141</v>
      </c>
      <c r="R608" s="101">
        <f t="shared" si="157"/>
        <v>513351091</v>
      </c>
      <c r="S608" s="144" t="s">
        <v>56</v>
      </c>
      <c r="T608" s="151">
        <f t="shared" si="151"/>
        <v>0</v>
      </c>
      <c r="U608" s="27" t="str">
        <f t="shared" si="152"/>
        <v>SUBDIRECCION DE GESTION CONTRACTUAL</v>
      </c>
      <c r="V608" s="151" t="str">
        <f t="shared" si="153"/>
        <v>CO-DC</v>
      </c>
      <c r="W608" s="151" t="str">
        <f t="shared" si="154"/>
        <v>Distrito Capital de Bogotá</v>
      </c>
      <c r="X608" s="131" t="s">
        <v>129</v>
      </c>
      <c r="Y608" s="104">
        <v>2427400</v>
      </c>
      <c r="Z608" s="133" t="s">
        <v>130</v>
      </c>
    </row>
    <row r="609" spans="1:26" s="61" customFormat="1" ht="13.9" hidden="1" customHeight="1" x14ac:dyDescent="0.2">
      <c r="A609" s="171" t="s">
        <v>647</v>
      </c>
      <c r="B609" s="104">
        <v>51</v>
      </c>
      <c r="C609" s="134" t="s">
        <v>662</v>
      </c>
      <c r="D609" s="131" t="s">
        <v>719</v>
      </c>
      <c r="E609" s="132"/>
      <c r="F609" s="132">
        <f>1255848909-200000000</f>
        <v>1055848909</v>
      </c>
      <c r="G609" s="132"/>
      <c r="H609" s="131" t="s">
        <v>720</v>
      </c>
      <c r="I609" s="134" t="s">
        <v>722</v>
      </c>
      <c r="J609" s="104">
        <v>9</v>
      </c>
      <c r="K609" s="104">
        <v>9</v>
      </c>
      <c r="L609" s="104">
        <v>12</v>
      </c>
      <c r="M609" s="91">
        <f t="shared" si="149"/>
        <v>1</v>
      </c>
      <c r="N609" s="98" t="s">
        <v>64</v>
      </c>
      <c r="O609" s="99" t="s">
        <v>65</v>
      </c>
      <c r="P609" s="151">
        <f t="shared" si="150"/>
        <v>1</v>
      </c>
      <c r="Q609" s="101">
        <f t="shared" si="156"/>
        <v>1055848909</v>
      </c>
      <c r="R609" s="101">
        <f t="shared" si="157"/>
        <v>1055848909</v>
      </c>
      <c r="S609" s="144" t="s">
        <v>366</v>
      </c>
      <c r="T609" s="151">
        <f t="shared" si="151"/>
        <v>3</v>
      </c>
      <c r="U609" s="27" t="str">
        <f t="shared" si="152"/>
        <v>SUBDIRECCION DE GESTION CONTRACTUAL</v>
      </c>
      <c r="V609" s="151" t="str">
        <f t="shared" si="153"/>
        <v>CO-DC</v>
      </c>
      <c r="W609" s="151" t="str">
        <f t="shared" si="154"/>
        <v>Distrito Capital de Bogotá</v>
      </c>
      <c r="X609" s="131" t="s">
        <v>129</v>
      </c>
      <c r="Y609" s="104">
        <v>2427400</v>
      </c>
      <c r="Z609" s="133" t="s">
        <v>130</v>
      </c>
    </row>
    <row r="610" spans="1:26" s="61" customFormat="1" ht="13.9" hidden="1" customHeight="1" x14ac:dyDescent="0.2">
      <c r="A610" s="171" t="s">
        <v>647</v>
      </c>
      <c r="B610" s="104">
        <v>52</v>
      </c>
      <c r="C610" s="134" t="s">
        <v>662</v>
      </c>
      <c r="D610" s="131" t="s">
        <v>723</v>
      </c>
      <c r="E610" s="132">
        <v>0</v>
      </c>
      <c r="F610" s="132">
        <v>0</v>
      </c>
      <c r="G610" s="132"/>
      <c r="H610" s="131" t="s">
        <v>724</v>
      </c>
      <c r="I610" s="134" t="s">
        <v>725</v>
      </c>
      <c r="J610" s="104">
        <v>1</v>
      </c>
      <c r="K610" s="104">
        <v>1</v>
      </c>
      <c r="L610" s="104">
        <v>24</v>
      </c>
      <c r="M610" s="91">
        <f t="shared" si="149"/>
        <v>1</v>
      </c>
      <c r="N610" s="98" t="s">
        <v>726</v>
      </c>
      <c r="O610" s="99" t="s">
        <v>727</v>
      </c>
      <c r="P610" s="151">
        <f t="shared" si="150"/>
        <v>1</v>
      </c>
      <c r="Q610" s="101">
        <f t="shared" si="156"/>
        <v>0</v>
      </c>
      <c r="R610" s="101">
        <f t="shared" si="157"/>
        <v>0</v>
      </c>
      <c r="S610" s="144" t="s">
        <v>56</v>
      </c>
      <c r="T610" s="151">
        <f t="shared" si="151"/>
        <v>0</v>
      </c>
      <c r="U610" s="27" t="str">
        <f t="shared" si="152"/>
        <v>SUBDIRECCION DE GESTION CONTRACTUAL</v>
      </c>
      <c r="V610" s="151" t="str">
        <f t="shared" si="153"/>
        <v>CO-DC</v>
      </c>
      <c r="W610" s="151" t="str">
        <f t="shared" si="154"/>
        <v>Distrito Capital de Bogotá</v>
      </c>
      <c r="X610" s="131" t="s">
        <v>129</v>
      </c>
      <c r="Y610" s="104">
        <v>2427400</v>
      </c>
      <c r="Z610" s="133" t="s">
        <v>130</v>
      </c>
    </row>
    <row r="611" spans="1:26" s="61" customFormat="1" ht="13.9" hidden="1" customHeight="1" x14ac:dyDescent="0.2">
      <c r="A611" s="171" t="s">
        <v>647</v>
      </c>
      <c r="B611" s="104">
        <v>53</v>
      </c>
      <c r="C611" s="134" t="s">
        <v>648</v>
      </c>
      <c r="D611" s="131" t="s">
        <v>649</v>
      </c>
      <c r="E611" s="132"/>
      <c r="F611" s="132">
        <v>115000000</v>
      </c>
      <c r="G611" s="132"/>
      <c r="H611" s="131" t="s">
        <v>653</v>
      </c>
      <c r="I611" s="134" t="s">
        <v>728</v>
      </c>
      <c r="J611" s="104">
        <v>5</v>
      </c>
      <c r="K611" s="104">
        <v>6</v>
      </c>
      <c r="L611" s="104">
        <v>8</v>
      </c>
      <c r="M611" s="91">
        <f t="shared" si="149"/>
        <v>1</v>
      </c>
      <c r="N611" s="98" t="s">
        <v>113</v>
      </c>
      <c r="O611" s="99" t="s">
        <v>114</v>
      </c>
      <c r="P611" s="151">
        <v>1</v>
      </c>
      <c r="Q611" s="101">
        <f t="shared" si="156"/>
        <v>115000000</v>
      </c>
      <c r="R611" s="101">
        <f t="shared" si="157"/>
        <v>115000000</v>
      </c>
      <c r="S611" s="144">
        <v>0</v>
      </c>
      <c r="T611" s="151">
        <v>0</v>
      </c>
      <c r="U611" s="27" t="str">
        <f t="shared" si="152"/>
        <v>SUBDIRECCION DE GESTION CONTRACTUAL</v>
      </c>
      <c r="V611" s="151" t="str">
        <f t="shared" si="153"/>
        <v>CO-DC</v>
      </c>
      <c r="W611" s="151" t="str">
        <f t="shared" si="154"/>
        <v>Distrito Capital de Bogotá</v>
      </c>
      <c r="X611" s="131" t="s">
        <v>729</v>
      </c>
      <c r="Y611" s="104">
        <v>2427400</v>
      </c>
      <c r="Z611" s="88" t="s">
        <v>652</v>
      </c>
    </row>
    <row r="612" spans="1:26" s="61" customFormat="1" ht="13.9" hidden="1" customHeight="1" x14ac:dyDescent="0.2">
      <c r="A612" s="171" t="s">
        <v>730</v>
      </c>
      <c r="B612" s="104">
        <v>1</v>
      </c>
      <c r="C612" s="134" t="s">
        <v>95</v>
      </c>
      <c r="D612" s="131" t="s">
        <v>117</v>
      </c>
      <c r="E612" s="132"/>
      <c r="F612" s="132">
        <v>451000000</v>
      </c>
      <c r="G612" s="132"/>
      <c r="H612" s="131">
        <v>80111600</v>
      </c>
      <c r="I612" s="134" t="s">
        <v>731</v>
      </c>
      <c r="J612" s="104">
        <v>1</v>
      </c>
      <c r="K612" s="104">
        <v>1</v>
      </c>
      <c r="L612" s="104">
        <v>12</v>
      </c>
      <c r="M612" s="91">
        <f t="shared" ref="M612:M635" si="158">IF(ISBLANK(J612),"",1)</f>
        <v>1</v>
      </c>
      <c r="N612" s="98" t="s">
        <v>54</v>
      </c>
      <c r="O612" s="99" t="s">
        <v>55</v>
      </c>
      <c r="P612" s="151">
        <f t="shared" ref="P612:P626" si="159">IF(ISBLANK(N612),"",1)</f>
        <v>1</v>
      </c>
      <c r="Q612" s="101">
        <f t="shared" ref="Q612:Q622" si="160">+E612+F612+G612</f>
        <v>451000000</v>
      </c>
      <c r="R612" s="101">
        <f t="shared" ref="R612:R622" si="161">+F612</f>
        <v>451000000</v>
      </c>
      <c r="S612" s="144" t="s">
        <v>56</v>
      </c>
      <c r="T612" s="151">
        <f t="shared" ref="T612:T626" si="162">IF(ISBLANK(S612),"",IF(VALUE(S612)=0,0,IF(VALUE(S612)=1,3,"")))</f>
        <v>0</v>
      </c>
      <c r="U612" s="27" t="str">
        <f t="shared" ref="U612:U635" si="163">IF(ISBLANK(N612),"","SUBDIRECCION DE GESTION CONTRACTUAL")</f>
        <v>SUBDIRECCION DE GESTION CONTRACTUAL</v>
      </c>
      <c r="V612" s="151" t="str">
        <f t="shared" ref="V612:V629" si="164">IF(ISBLANK(N612),"","CO-DC")</f>
        <v>CO-DC</v>
      </c>
      <c r="W612" s="151" t="str">
        <f t="shared" ref="W612:W629" si="165">IF(ISBLANK(N612),"","Distrito Capital de Bogotá")</f>
        <v>Distrito Capital de Bogotá</v>
      </c>
      <c r="X612" s="131" t="s">
        <v>732</v>
      </c>
      <c r="Y612" s="104">
        <v>2427400</v>
      </c>
      <c r="Z612" s="133" t="s">
        <v>733</v>
      </c>
    </row>
    <row r="613" spans="1:26" s="61" customFormat="1" ht="13.9" hidden="1" customHeight="1" x14ac:dyDescent="0.2">
      <c r="A613" s="171" t="s">
        <v>734</v>
      </c>
      <c r="B613" s="104">
        <v>1</v>
      </c>
      <c r="C613" s="134" t="s">
        <v>735</v>
      </c>
      <c r="D613" s="131" t="s">
        <v>736</v>
      </c>
      <c r="E613" s="132"/>
      <c r="F613" s="132">
        <f>600000000+10400000</f>
        <v>610400000</v>
      </c>
      <c r="G613" s="132"/>
      <c r="H613" s="131">
        <v>80111600</v>
      </c>
      <c r="I613" s="134" t="s">
        <v>737</v>
      </c>
      <c r="J613" s="104">
        <v>1</v>
      </c>
      <c r="K613" s="104">
        <v>1</v>
      </c>
      <c r="L613" s="104">
        <v>12</v>
      </c>
      <c r="M613" s="91">
        <f t="shared" si="158"/>
        <v>1</v>
      </c>
      <c r="N613" s="98" t="s">
        <v>54</v>
      </c>
      <c r="O613" s="99" t="s">
        <v>55</v>
      </c>
      <c r="P613" s="151">
        <f t="shared" si="159"/>
        <v>1</v>
      </c>
      <c r="Q613" s="101">
        <f t="shared" si="160"/>
        <v>610400000</v>
      </c>
      <c r="R613" s="101">
        <f t="shared" si="161"/>
        <v>610400000</v>
      </c>
      <c r="S613" s="144" t="s">
        <v>56</v>
      </c>
      <c r="T613" s="151">
        <f t="shared" si="162"/>
        <v>0</v>
      </c>
      <c r="U613" s="27" t="str">
        <f t="shared" si="163"/>
        <v>SUBDIRECCION DE GESTION CONTRACTUAL</v>
      </c>
      <c r="V613" s="151" t="str">
        <f t="shared" si="164"/>
        <v>CO-DC</v>
      </c>
      <c r="W613" s="151" t="str">
        <f t="shared" si="165"/>
        <v>Distrito Capital de Bogotá</v>
      </c>
      <c r="X613" s="131" t="s">
        <v>738</v>
      </c>
      <c r="Y613" s="104">
        <v>2427401</v>
      </c>
      <c r="Z613" s="88" t="s">
        <v>739</v>
      </c>
    </row>
    <row r="614" spans="1:26" s="61" customFormat="1" ht="13.9" hidden="1" customHeight="1" x14ac:dyDescent="0.2">
      <c r="A614" s="171" t="s">
        <v>734</v>
      </c>
      <c r="B614" s="104">
        <v>2</v>
      </c>
      <c r="C614" s="134" t="s">
        <v>735</v>
      </c>
      <c r="D614" s="131" t="s">
        <v>736</v>
      </c>
      <c r="E614" s="132"/>
      <c r="F614" s="132">
        <v>270100000</v>
      </c>
      <c r="G614" s="132"/>
      <c r="H614" s="94" t="s">
        <v>67</v>
      </c>
      <c r="I614" s="134" t="s">
        <v>740</v>
      </c>
      <c r="J614" s="95">
        <v>2</v>
      </c>
      <c r="K614" s="96">
        <v>3</v>
      </c>
      <c r="L614" s="97">
        <v>9</v>
      </c>
      <c r="M614" s="91">
        <f t="shared" si="158"/>
        <v>1</v>
      </c>
      <c r="N614" s="98" t="s">
        <v>69</v>
      </c>
      <c r="O614" s="99" t="s">
        <v>70</v>
      </c>
      <c r="P614" s="151">
        <f t="shared" si="159"/>
        <v>1</v>
      </c>
      <c r="Q614" s="101">
        <f t="shared" si="160"/>
        <v>270100000</v>
      </c>
      <c r="R614" s="101">
        <f t="shared" si="161"/>
        <v>270100000</v>
      </c>
      <c r="S614" s="144" t="s">
        <v>56</v>
      </c>
      <c r="T614" s="151">
        <f t="shared" si="162"/>
        <v>0</v>
      </c>
      <c r="U614" s="27" t="str">
        <f t="shared" si="163"/>
        <v>SUBDIRECCION DE GESTION CONTRACTUAL</v>
      </c>
      <c r="V614" s="151" t="str">
        <f t="shared" si="164"/>
        <v>CO-DC</v>
      </c>
      <c r="W614" s="151" t="str">
        <f t="shared" si="165"/>
        <v>Distrito Capital de Bogotá</v>
      </c>
      <c r="X614" s="131" t="s">
        <v>738</v>
      </c>
      <c r="Y614" s="104">
        <v>2427401</v>
      </c>
      <c r="Z614" s="88" t="s">
        <v>739</v>
      </c>
    </row>
    <row r="615" spans="1:26" s="61" customFormat="1" ht="13.9" hidden="1" customHeight="1" x14ac:dyDescent="0.2">
      <c r="A615" s="171" t="s">
        <v>734</v>
      </c>
      <c r="B615" s="104">
        <v>3</v>
      </c>
      <c r="C615" s="134" t="s">
        <v>735</v>
      </c>
      <c r="D615" s="131" t="s">
        <v>736</v>
      </c>
      <c r="E615" s="132">
        <v>29515520</v>
      </c>
      <c r="F615" s="132">
        <f>20000000+50000000-29515520</f>
        <v>40484480</v>
      </c>
      <c r="G615" s="132"/>
      <c r="H615" s="94" t="s">
        <v>59</v>
      </c>
      <c r="I615" s="134" t="s">
        <v>741</v>
      </c>
      <c r="J615" s="95">
        <v>3</v>
      </c>
      <c r="K615" s="96">
        <v>4</v>
      </c>
      <c r="L615" s="97">
        <v>9</v>
      </c>
      <c r="M615" s="91">
        <f t="shared" si="158"/>
        <v>1</v>
      </c>
      <c r="N615" s="98" t="s">
        <v>61</v>
      </c>
      <c r="O615" s="99" t="s">
        <v>62</v>
      </c>
      <c r="P615" s="151">
        <f t="shared" si="159"/>
        <v>1</v>
      </c>
      <c r="Q615" s="101">
        <f t="shared" si="160"/>
        <v>70000000</v>
      </c>
      <c r="R615" s="101">
        <f t="shared" si="161"/>
        <v>40484480</v>
      </c>
      <c r="S615" s="144" t="s">
        <v>56</v>
      </c>
      <c r="T615" s="151">
        <f t="shared" si="162"/>
        <v>0</v>
      </c>
      <c r="U615" s="27" t="str">
        <f t="shared" si="163"/>
        <v>SUBDIRECCION DE GESTION CONTRACTUAL</v>
      </c>
      <c r="V615" s="91" t="str">
        <f t="shared" si="164"/>
        <v>CO-DC</v>
      </c>
      <c r="W615" s="27" t="str">
        <f t="shared" si="165"/>
        <v>Distrito Capital de Bogotá</v>
      </c>
      <c r="X615" s="103" t="s">
        <v>162</v>
      </c>
      <c r="Y615" s="104">
        <v>2427400</v>
      </c>
      <c r="Z615" s="133" t="s">
        <v>163</v>
      </c>
    </row>
    <row r="616" spans="1:26" s="61" customFormat="1" ht="13.9" hidden="1" customHeight="1" x14ac:dyDescent="0.2">
      <c r="A616" s="171" t="s">
        <v>734</v>
      </c>
      <c r="B616" s="104">
        <v>4</v>
      </c>
      <c r="C616" s="134" t="s">
        <v>735</v>
      </c>
      <c r="D616" s="131" t="s">
        <v>742</v>
      </c>
      <c r="E616" s="132"/>
      <c r="F616" s="132">
        <f>145200000-145200000</f>
        <v>0</v>
      </c>
      <c r="G616" s="132"/>
      <c r="H616" s="131" t="s">
        <v>743</v>
      </c>
      <c r="I616" s="134" t="s">
        <v>744</v>
      </c>
      <c r="J616" s="104">
        <v>5</v>
      </c>
      <c r="K616" s="104">
        <v>5</v>
      </c>
      <c r="L616" s="104">
        <v>7</v>
      </c>
      <c r="M616" s="91">
        <f t="shared" si="158"/>
        <v>1</v>
      </c>
      <c r="N616" s="98" t="s">
        <v>726</v>
      </c>
      <c r="O616" s="99" t="s">
        <v>727</v>
      </c>
      <c r="P616" s="151">
        <f t="shared" si="159"/>
        <v>1</v>
      </c>
      <c r="Q616" s="101">
        <f t="shared" si="160"/>
        <v>0</v>
      </c>
      <c r="R616" s="101">
        <f t="shared" si="161"/>
        <v>0</v>
      </c>
      <c r="S616" s="144" t="s">
        <v>56</v>
      </c>
      <c r="T616" s="151">
        <f t="shared" si="162"/>
        <v>0</v>
      </c>
      <c r="U616" s="27" t="str">
        <f t="shared" si="163"/>
        <v>SUBDIRECCION DE GESTION CONTRACTUAL</v>
      </c>
      <c r="V616" s="151" t="str">
        <f t="shared" si="164"/>
        <v>CO-DC</v>
      </c>
      <c r="W616" s="151" t="str">
        <f t="shared" si="165"/>
        <v>Distrito Capital de Bogotá</v>
      </c>
      <c r="X616" s="131" t="s">
        <v>738</v>
      </c>
      <c r="Y616" s="104">
        <v>2427401</v>
      </c>
      <c r="Z616" s="88" t="s">
        <v>739</v>
      </c>
    </row>
    <row r="617" spans="1:26" s="61" customFormat="1" ht="13.9" hidden="1" customHeight="1" x14ac:dyDescent="0.2">
      <c r="A617" s="171" t="s">
        <v>734</v>
      </c>
      <c r="B617" s="104">
        <v>5</v>
      </c>
      <c r="C617" s="134" t="s">
        <v>745</v>
      </c>
      <c r="D617" s="131" t="s">
        <v>746</v>
      </c>
      <c r="E617" s="132"/>
      <c r="F617" s="132">
        <v>500000000</v>
      </c>
      <c r="G617" s="132"/>
      <c r="H617" s="131" t="s">
        <v>747</v>
      </c>
      <c r="I617" s="134" t="s">
        <v>748</v>
      </c>
      <c r="J617" s="104">
        <v>3</v>
      </c>
      <c r="K617" s="104">
        <v>3</v>
      </c>
      <c r="L617" s="104">
        <v>9</v>
      </c>
      <c r="M617" s="91">
        <f t="shared" si="158"/>
        <v>1</v>
      </c>
      <c r="N617" s="98" t="s">
        <v>64</v>
      </c>
      <c r="O617" s="99" t="s">
        <v>65</v>
      </c>
      <c r="P617" s="151">
        <f t="shared" si="159"/>
        <v>1</v>
      </c>
      <c r="Q617" s="101">
        <f t="shared" si="160"/>
        <v>500000000</v>
      </c>
      <c r="R617" s="101">
        <f t="shared" si="161"/>
        <v>500000000</v>
      </c>
      <c r="S617" s="144" t="s">
        <v>56</v>
      </c>
      <c r="T617" s="151">
        <f t="shared" si="162"/>
        <v>0</v>
      </c>
      <c r="U617" s="27" t="str">
        <f t="shared" si="163"/>
        <v>SUBDIRECCION DE GESTION CONTRACTUAL</v>
      </c>
      <c r="V617" s="151" t="str">
        <f t="shared" si="164"/>
        <v>CO-DC</v>
      </c>
      <c r="W617" s="151" t="str">
        <f t="shared" si="165"/>
        <v>Distrito Capital de Bogotá</v>
      </c>
      <c r="X617" s="131" t="s">
        <v>738</v>
      </c>
      <c r="Y617" s="104">
        <v>2427401</v>
      </c>
      <c r="Z617" s="88" t="s">
        <v>739</v>
      </c>
    </row>
    <row r="618" spans="1:26" s="61" customFormat="1" ht="13.9" hidden="1" customHeight="1" x14ac:dyDescent="0.2">
      <c r="A618" s="171" t="s">
        <v>734</v>
      </c>
      <c r="B618" s="104">
        <v>6</v>
      </c>
      <c r="C618" s="134" t="s">
        <v>745</v>
      </c>
      <c r="D618" s="131" t="s">
        <v>746</v>
      </c>
      <c r="E618" s="132"/>
      <c r="F618" s="132">
        <f>500000000-400000000</f>
        <v>100000000</v>
      </c>
      <c r="G618" s="132"/>
      <c r="H618" s="131" t="s">
        <v>749</v>
      </c>
      <c r="I618" s="134" t="s">
        <v>750</v>
      </c>
      <c r="J618" s="104">
        <v>11</v>
      </c>
      <c r="K618" s="104">
        <v>11</v>
      </c>
      <c r="L618" s="104">
        <v>1</v>
      </c>
      <c r="M618" s="91">
        <f t="shared" si="158"/>
        <v>1</v>
      </c>
      <c r="N618" s="98" t="s">
        <v>64</v>
      </c>
      <c r="O618" s="99" t="s">
        <v>65</v>
      </c>
      <c r="P618" s="151">
        <f t="shared" si="159"/>
        <v>1</v>
      </c>
      <c r="Q618" s="101">
        <f t="shared" si="160"/>
        <v>100000000</v>
      </c>
      <c r="R618" s="101">
        <f t="shared" si="161"/>
        <v>100000000</v>
      </c>
      <c r="S618" s="144" t="s">
        <v>56</v>
      </c>
      <c r="T618" s="151">
        <f t="shared" si="162"/>
        <v>0</v>
      </c>
      <c r="U618" s="27" t="str">
        <f t="shared" si="163"/>
        <v>SUBDIRECCION DE GESTION CONTRACTUAL</v>
      </c>
      <c r="V618" s="151" t="str">
        <f t="shared" si="164"/>
        <v>CO-DC</v>
      </c>
      <c r="W618" s="151" t="str">
        <f t="shared" si="165"/>
        <v>Distrito Capital de Bogotá</v>
      </c>
      <c r="X618" s="131" t="s">
        <v>738</v>
      </c>
      <c r="Y618" s="104">
        <v>2427401</v>
      </c>
      <c r="Z618" s="88" t="s">
        <v>739</v>
      </c>
    </row>
    <row r="619" spans="1:26" s="61" customFormat="1" ht="13.9" hidden="1" customHeight="1" x14ac:dyDescent="0.2">
      <c r="A619" s="171" t="s">
        <v>734</v>
      </c>
      <c r="B619" s="104">
        <v>7</v>
      </c>
      <c r="C619" s="134" t="s">
        <v>751</v>
      </c>
      <c r="D619" s="131" t="s">
        <v>746</v>
      </c>
      <c r="E619" s="132"/>
      <c r="F619" s="132">
        <f>658100000-10400000</f>
        <v>647700000</v>
      </c>
      <c r="G619" s="132"/>
      <c r="H619" s="131">
        <v>80111600</v>
      </c>
      <c r="I619" s="134" t="s">
        <v>752</v>
      </c>
      <c r="J619" s="104">
        <v>1</v>
      </c>
      <c r="K619" s="104">
        <v>1</v>
      </c>
      <c r="L619" s="104">
        <v>12</v>
      </c>
      <c r="M619" s="91">
        <f t="shared" si="158"/>
        <v>1</v>
      </c>
      <c r="N619" s="98" t="s">
        <v>54</v>
      </c>
      <c r="O619" s="99" t="s">
        <v>55</v>
      </c>
      <c r="P619" s="151">
        <f t="shared" si="159"/>
        <v>1</v>
      </c>
      <c r="Q619" s="101">
        <f t="shared" si="160"/>
        <v>647700000</v>
      </c>
      <c r="R619" s="101">
        <f t="shared" si="161"/>
        <v>647700000</v>
      </c>
      <c r="S619" s="144" t="s">
        <v>56</v>
      </c>
      <c r="T619" s="151">
        <f t="shared" si="162"/>
        <v>0</v>
      </c>
      <c r="U619" s="27" t="str">
        <f t="shared" si="163"/>
        <v>SUBDIRECCION DE GESTION CONTRACTUAL</v>
      </c>
      <c r="V619" s="151" t="str">
        <f t="shared" si="164"/>
        <v>CO-DC</v>
      </c>
      <c r="W619" s="151" t="str">
        <f t="shared" si="165"/>
        <v>Distrito Capital de Bogotá</v>
      </c>
      <c r="X619" s="131" t="s">
        <v>738</v>
      </c>
      <c r="Y619" s="104">
        <v>2427401</v>
      </c>
      <c r="Z619" s="88" t="s">
        <v>739</v>
      </c>
    </row>
    <row r="620" spans="1:26" s="61" customFormat="1" ht="13.9" hidden="1" customHeight="1" x14ac:dyDescent="0.2">
      <c r="A620" s="171" t="s">
        <v>734</v>
      </c>
      <c r="B620" s="104">
        <v>8</v>
      </c>
      <c r="C620" s="134" t="s">
        <v>753</v>
      </c>
      <c r="D620" s="131" t="s">
        <v>754</v>
      </c>
      <c r="E620" s="132"/>
      <c r="F620" s="132">
        <f>634400000-18000000-50000000</f>
        <v>566400000</v>
      </c>
      <c r="G620" s="132"/>
      <c r="H620" s="131" t="s">
        <v>749</v>
      </c>
      <c r="I620" s="134" t="s">
        <v>755</v>
      </c>
      <c r="J620" s="104">
        <v>11</v>
      </c>
      <c r="K620" s="104">
        <v>11</v>
      </c>
      <c r="L620" s="104">
        <v>1</v>
      </c>
      <c r="M620" s="91">
        <f t="shared" si="158"/>
        <v>1</v>
      </c>
      <c r="N620" s="98" t="s">
        <v>64</v>
      </c>
      <c r="O620" s="99" t="s">
        <v>65</v>
      </c>
      <c r="P620" s="151">
        <f t="shared" si="159"/>
        <v>1</v>
      </c>
      <c r="Q620" s="101">
        <f t="shared" si="160"/>
        <v>566400000</v>
      </c>
      <c r="R620" s="101">
        <f t="shared" si="161"/>
        <v>566400000</v>
      </c>
      <c r="S620" s="144" t="s">
        <v>56</v>
      </c>
      <c r="T620" s="151">
        <f t="shared" si="162"/>
        <v>0</v>
      </c>
      <c r="U620" s="27" t="str">
        <f t="shared" si="163"/>
        <v>SUBDIRECCION DE GESTION CONTRACTUAL</v>
      </c>
      <c r="V620" s="151" t="str">
        <f t="shared" si="164"/>
        <v>CO-DC</v>
      </c>
      <c r="W620" s="151" t="str">
        <f t="shared" si="165"/>
        <v>Distrito Capital de Bogotá</v>
      </c>
      <c r="X620" s="131" t="s">
        <v>738</v>
      </c>
      <c r="Y620" s="104">
        <v>2427401</v>
      </c>
      <c r="Z620" s="88" t="s">
        <v>739</v>
      </c>
    </row>
    <row r="621" spans="1:26" s="61" customFormat="1" ht="13.9" hidden="1" customHeight="1" x14ac:dyDescent="0.2">
      <c r="A621" s="171" t="s">
        <v>734</v>
      </c>
      <c r="B621" s="104">
        <v>9</v>
      </c>
      <c r="C621" s="134" t="s">
        <v>756</v>
      </c>
      <c r="D621" s="131" t="s">
        <v>754</v>
      </c>
      <c r="E621" s="132"/>
      <c r="F621" s="132">
        <f>40000000-40000000</f>
        <v>0</v>
      </c>
      <c r="G621" s="132"/>
      <c r="H621" s="131" t="s">
        <v>749</v>
      </c>
      <c r="I621" s="134" t="s">
        <v>757</v>
      </c>
      <c r="J621" s="104">
        <v>3</v>
      </c>
      <c r="K621" s="104">
        <v>3</v>
      </c>
      <c r="L621" s="104">
        <v>9</v>
      </c>
      <c r="M621" s="91">
        <f t="shared" si="158"/>
        <v>1</v>
      </c>
      <c r="N621" s="98" t="s">
        <v>64</v>
      </c>
      <c r="O621" s="99" t="s">
        <v>65</v>
      </c>
      <c r="P621" s="151">
        <f t="shared" si="159"/>
        <v>1</v>
      </c>
      <c r="Q621" s="101">
        <f t="shared" si="160"/>
        <v>0</v>
      </c>
      <c r="R621" s="101">
        <f t="shared" si="161"/>
        <v>0</v>
      </c>
      <c r="S621" s="144" t="s">
        <v>56</v>
      </c>
      <c r="T621" s="151">
        <f t="shared" si="162"/>
        <v>0</v>
      </c>
      <c r="U621" s="27" t="str">
        <f t="shared" si="163"/>
        <v>SUBDIRECCION DE GESTION CONTRACTUAL</v>
      </c>
      <c r="V621" s="151" t="str">
        <f t="shared" si="164"/>
        <v>CO-DC</v>
      </c>
      <c r="W621" s="151" t="str">
        <f t="shared" si="165"/>
        <v>Distrito Capital de Bogotá</v>
      </c>
      <c r="X621" s="131" t="s">
        <v>738</v>
      </c>
      <c r="Y621" s="104">
        <v>2427401</v>
      </c>
      <c r="Z621" s="88" t="s">
        <v>739</v>
      </c>
    </row>
    <row r="622" spans="1:26" s="61" customFormat="1" ht="13.9" hidden="1" customHeight="1" x14ac:dyDescent="0.2">
      <c r="A622" s="171" t="s">
        <v>734</v>
      </c>
      <c r="B622" s="104">
        <v>10</v>
      </c>
      <c r="C622" s="134" t="s">
        <v>758</v>
      </c>
      <c r="D622" s="131" t="s">
        <v>754</v>
      </c>
      <c r="E622" s="132"/>
      <c r="F622" s="132">
        <v>325600000</v>
      </c>
      <c r="G622" s="132"/>
      <c r="H622" s="131" t="s">
        <v>747</v>
      </c>
      <c r="I622" s="134" t="s">
        <v>748</v>
      </c>
      <c r="J622" s="104">
        <v>3</v>
      </c>
      <c r="K622" s="104">
        <v>3</v>
      </c>
      <c r="L622" s="104">
        <v>9</v>
      </c>
      <c r="M622" s="91">
        <f t="shared" si="158"/>
        <v>1</v>
      </c>
      <c r="N622" s="98" t="s">
        <v>64</v>
      </c>
      <c r="O622" s="99" t="s">
        <v>65</v>
      </c>
      <c r="P622" s="151">
        <f t="shared" si="159"/>
        <v>1</v>
      </c>
      <c r="Q622" s="101">
        <f t="shared" si="160"/>
        <v>325600000</v>
      </c>
      <c r="R622" s="101">
        <f t="shared" si="161"/>
        <v>325600000</v>
      </c>
      <c r="S622" s="144" t="s">
        <v>56</v>
      </c>
      <c r="T622" s="151">
        <f t="shared" si="162"/>
        <v>0</v>
      </c>
      <c r="U622" s="27" t="str">
        <f t="shared" si="163"/>
        <v>SUBDIRECCION DE GESTION CONTRACTUAL</v>
      </c>
      <c r="V622" s="151" t="str">
        <f t="shared" si="164"/>
        <v>CO-DC</v>
      </c>
      <c r="W622" s="151" t="str">
        <f t="shared" si="165"/>
        <v>Distrito Capital de Bogotá</v>
      </c>
      <c r="X622" s="131" t="s">
        <v>738</v>
      </c>
      <c r="Y622" s="104">
        <v>2427401</v>
      </c>
      <c r="Z622" s="88" t="s">
        <v>739</v>
      </c>
    </row>
    <row r="623" spans="1:26" s="61" customFormat="1" ht="13.9" hidden="1" customHeight="1" x14ac:dyDescent="0.2">
      <c r="A623" s="171" t="s">
        <v>734</v>
      </c>
      <c r="B623" s="104">
        <v>11</v>
      </c>
      <c r="C623" s="134" t="s">
        <v>759</v>
      </c>
      <c r="D623" s="131" t="s">
        <v>478</v>
      </c>
      <c r="E623" s="132"/>
      <c r="F623" s="132">
        <f>4950000000-20000000-45000000+50000000+75750000+134600000</f>
        <v>5145350000</v>
      </c>
      <c r="G623" s="132"/>
      <c r="H623" s="131">
        <v>80111600</v>
      </c>
      <c r="I623" s="134" t="s">
        <v>752</v>
      </c>
      <c r="J623" s="104">
        <v>1</v>
      </c>
      <c r="K623" s="104">
        <v>1</v>
      </c>
      <c r="L623" s="104">
        <v>12</v>
      </c>
      <c r="M623" s="91">
        <f t="shared" si="158"/>
        <v>1</v>
      </c>
      <c r="N623" s="98" t="s">
        <v>54</v>
      </c>
      <c r="O623" s="99" t="s">
        <v>55</v>
      </c>
      <c r="P623" s="151">
        <f t="shared" si="159"/>
        <v>1</v>
      </c>
      <c r="Q623" s="101">
        <f t="shared" ref="Q623:Q689" si="166">+E623+F623+G623</f>
        <v>5145350000</v>
      </c>
      <c r="R623" s="101">
        <f t="shared" ref="R623:R689" si="167">+F623</f>
        <v>5145350000</v>
      </c>
      <c r="S623" s="144" t="s">
        <v>56</v>
      </c>
      <c r="T623" s="151">
        <f t="shared" si="162"/>
        <v>0</v>
      </c>
      <c r="U623" s="27" t="str">
        <f t="shared" si="163"/>
        <v>SUBDIRECCION DE GESTION CONTRACTUAL</v>
      </c>
      <c r="V623" s="151" t="str">
        <f t="shared" si="164"/>
        <v>CO-DC</v>
      </c>
      <c r="W623" s="151" t="str">
        <f t="shared" si="165"/>
        <v>Distrito Capital de Bogotá</v>
      </c>
      <c r="X623" s="131" t="s">
        <v>760</v>
      </c>
      <c r="Y623" s="104">
        <v>2427401</v>
      </c>
      <c r="Z623" s="88" t="s">
        <v>761</v>
      </c>
    </row>
    <row r="624" spans="1:26" s="61" customFormat="1" ht="13.9" hidden="1" customHeight="1" x14ac:dyDescent="0.2">
      <c r="A624" s="171" t="s">
        <v>734</v>
      </c>
      <c r="B624" s="104">
        <v>12</v>
      </c>
      <c r="C624" s="134" t="s">
        <v>759</v>
      </c>
      <c r="D624" s="131" t="s">
        <v>478</v>
      </c>
      <c r="E624" s="132"/>
      <c r="F624" s="132">
        <v>80000000</v>
      </c>
      <c r="G624" s="132"/>
      <c r="H624" s="131" t="s">
        <v>199</v>
      </c>
      <c r="I624" s="134" t="s">
        <v>762</v>
      </c>
      <c r="J624" s="104">
        <v>8</v>
      </c>
      <c r="K624" s="104">
        <v>7</v>
      </c>
      <c r="L624" s="104">
        <v>9</v>
      </c>
      <c r="M624" s="91">
        <f t="shared" si="158"/>
        <v>1</v>
      </c>
      <c r="N624" s="98" t="s">
        <v>125</v>
      </c>
      <c r="O624" s="99" t="s">
        <v>126</v>
      </c>
      <c r="P624" s="151">
        <f t="shared" si="159"/>
        <v>1</v>
      </c>
      <c r="Q624" s="101">
        <f t="shared" si="166"/>
        <v>80000000</v>
      </c>
      <c r="R624" s="101">
        <f t="shared" si="167"/>
        <v>80000000</v>
      </c>
      <c r="S624" s="144" t="s">
        <v>56</v>
      </c>
      <c r="T624" s="151">
        <f t="shared" si="162"/>
        <v>0</v>
      </c>
      <c r="U624" s="27" t="str">
        <f t="shared" si="163"/>
        <v>SUBDIRECCION DE GESTION CONTRACTUAL</v>
      </c>
      <c r="V624" s="151" t="str">
        <f t="shared" si="164"/>
        <v>CO-DC</v>
      </c>
      <c r="W624" s="151" t="str">
        <f t="shared" si="165"/>
        <v>Distrito Capital de Bogotá</v>
      </c>
      <c r="X624" s="131" t="s">
        <v>196</v>
      </c>
      <c r="Y624" s="104">
        <v>2427400</v>
      </c>
      <c r="Z624" s="133" t="s">
        <v>197</v>
      </c>
    </row>
    <row r="625" spans="1:26" s="61" customFormat="1" ht="13.9" hidden="1" customHeight="1" x14ac:dyDescent="0.2">
      <c r="A625" s="171" t="s">
        <v>734</v>
      </c>
      <c r="B625" s="104">
        <v>13</v>
      </c>
      <c r="C625" s="134" t="s">
        <v>759</v>
      </c>
      <c r="D625" s="131" t="s">
        <v>478</v>
      </c>
      <c r="E625" s="132"/>
      <c r="F625" s="132">
        <f>100000000-100000000</f>
        <v>0</v>
      </c>
      <c r="G625" s="132"/>
      <c r="H625" s="94" t="s">
        <v>498</v>
      </c>
      <c r="I625" s="134" t="s">
        <v>763</v>
      </c>
      <c r="J625" s="124">
        <v>3</v>
      </c>
      <c r="K625" s="124">
        <v>4</v>
      </c>
      <c r="L625" s="124">
        <v>8</v>
      </c>
      <c r="M625" s="91">
        <f t="shared" si="158"/>
        <v>1</v>
      </c>
      <c r="N625" s="98" t="s">
        <v>87</v>
      </c>
      <c r="O625" s="99" t="s">
        <v>88</v>
      </c>
      <c r="P625" s="151">
        <f t="shared" si="159"/>
        <v>1</v>
      </c>
      <c r="Q625" s="101">
        <f t="shared" si="166"/>
        <v>0</v>
      </c>
      <c r="R625" s="101">
        <f t="shared" si="167"/>
        <v>0</v>
      </c>
      <c r="S625" s="144" t="s">
        <v>56</v>
      </c>
      <c r="T625" s="151">
        <f t="shared" si="162"/>
        <v>0</v>
      </c>
      <c r="U625" s="27" t="str">
        <f t="shared" si="163"/>
        <v>SUBDIRECCION DE GESTION CONTRACTUAL</v>
      </c>
      <c r="V625" s="151" t="str">
        <f t="shared" si="164"/>
        <v>CO-DC</v>
      </c>
      <c r="W625" s="151" t="str">
        <f t="shared" si="165"/>
        <v>Distrito Capital de Bogotá</v>
      </c>
      <c r="X625" s="131" t="s">
        <v>201</v>
      </c>
      <c r="Y625" s="104">
        <v>2427400</v>
      </c>
      <c r="Z625" s="133" t="s">
        <v>500</v>
      </c>
    </row>
    <row r="626" spans="1:26" s="61" customFormat="1" ht="13.9" hidden="1" customHeight="1" x14ac:dyDescent="0.2">
      <c r="A626" s="171" t="s">
        <v>734</v>
      </c>
      <c r="B626" s="104">
        <v>14</v>
      </c>
      <c r="C626" s="134" t="s">
        <v>759</v>
      </c>
      <c r="D626" s="131" t="s">
        <v>478</v>
      </c>
      <c r="E626" s="132"/>
      <c r="F626" s="132">
        <f>100000000+200000000</f>
        <v>300000000</v>
      </c>
      <c r="G626" s="132"/>
      <c r="H626" s="131" t="s">
        <v>91</v>
      </c>
      <c r="I626" s="134" t="s">
        <v>764</v>
      </c>
      <c r="J626" s="104">
        <v>11</v>
      </c>
      <c r="K626" s="104">
        <v>11</v>
      </c>
      <c r="L626" s="104">
        <v>2</v>
      </c>
      <c r="M626" s="91">
        <f t="shared" si="158"/>
        <v>1</v>
      </c>
      <c r="N626" s="98" t="s">
        <v>87</v>
      </c>
      <c r="O626" s="99" t="s">
        <v>88</v>
      </c>
      <c r="P626" s="151">
        <f t="shared" si="159"/>
        <v>1</v>
      </c>
      <c r="Q626" s="101">
        <f t="shared" si="166"/>
        <v>300000000</v>
      </c>
      <c r="R626" s="101">
        <f t="shared" si="167"/>
        <v>300000000</v>
      </c>
      <c r="S626" s="144" t="s">
        <v>56</v>
      </c>
      <c r="T626" s="151">
        <f t="shared" si="162"/>
        <v>0</v>
      </c>
      <c r="U626" s="27" t="str">
        <f t="shared" si="163"/>
        <v>SUBDIRECCION DE GESTION CONTRACTUAL</v>
      </c>
      <c r="V626" s="151" t="str">
        <f t="shared" si="164"/>
        <v>CO-DC</v>
      </c>
      <c r="W626" s="151" t="str">
        <f t="shared" si="165"/>
        <v>Distrito Capital de Bogotá</v>
      </c>
      <c r="X626" s="131" t="s">
        <v>738</v>
      </c>
      <c r="Y626" s="104">
        <v>2427401</v>
      </c>
      <c r="Z626" s="88" t="s">
        <v>739</v>
      </c>
    </row>
    <row r="627" spans="1:26" s="61" customFormat="1" ht="13.9" hidden="1" customHeight="1" x14ac:dyDescent="0.2">
      <c r="A627" s="171" t="s">
        <v>734</v>
      </c>
      <c r="B627" s="104">
        <v>15</v>
      </c>
      <c r="C627" s="134" t="s">
        <v>735</v>
      </c>
      <c r="D627" s="131" t="s">
        <v>736</v>
      </c>
      <c r="E627" s="132"/>
      <c r="F627" s="132">
        <v>89900000</v>
      </c>
      <c r="G627" s="132"/>
      <c r="H627" s="94" t="s">
        <v>67</v>
      </c>
      <c r="I627" s="134" t="s">
        <v>740</v>
      </c>
      <c r="J627" s="124">
        <v>1</v>
      </c>
      <c r="K627" s="124">
        <v>2</v>
      </c>
      <c r="L627" s="124">
        <v>3</v>
      </c>
      <c r="M627" s="91">
        <f t="shared" si="158"/>
        <v>1</v>
      </c>
      <c r="N627" s="98" t="s">
        <v>64</v>
      </c>
      <c r="O627" s="99" t="s">
        <v>65</v>
      </c>
      <c r="P627" s="151">
        <v>1</v>
      </c>
      <c r="Q627" s="101">
        <f t="shared" si="166"/>
        <v>89900000</v>
      </c>
      <c r="R627" s="101">
        <f t="shared" si="167"/>
        <v>89900000</v>
      </c>
      <c r="S627" s="144" t="s">
        <v>56</v>
      </c>
      <c r="T627" s="151">
        <v>0</v>
      </c>
      <c r="U627" s="27" t="str">
        <f t="shared" si="163"/>
        <v>SUBDIRECCION DE GESTION CONTRACTUAL</v>
      </c>
      <c r="V627" s="151" t="str">
        <f t="shared" si="164"/>
        <v>CO-DC</v>
      </c>
      <c r="W627" s="151" t="str">
        <f t="shared" si="165"/>
        <v>Distrito Capital de Bogotá</v>
      </c>
      <c r="X627" s="131" t="s">
        <v>738</v>
      </c>
      <c r="Y627" s="104">
        <v>2427401</v>
      </c>
      <c r="Z627" s="88" t="s">
        <v>739</v>
      </c>
    </row>
    <row r="628" spans="1:26" s="61" customFormat="1" ht="13.9" hidden="1" customHeight="1" x14ac:dyDescent="0.2">
      <c r="A628" s="171" t="s">
        <v>734</v>
      </c>
      <c r="B628" s="104">
        <v>16</v>
      </c>
      <c r="C628" s="134" t="s">
        <v>759</v>
      </c>
      <c r="D628" s="131" t="s">
        <v>478</v>
      </c>
      <c r="E628" s="132"/>
      <c r="F628" s="132">
        <v>350000000</v>
      </c>
      <c r="G628" s="132"/>
      <c r="H628" s="94" t="s">
        <v>67</v>
      </c>
      <c r="I628" s="134" t="s">
        <v>740</v>
      </c>
      <c r="J628" s="95">
        <v>2</v>
      </c>
      <c r="K628" s="96">
        <v>3</v>
      </c>
      <c r="L628" s="97">
        <v>9</v>
      </c>
      <c r="M628" s="91">
        <f t="shared" si="158"/>
        <v>1</v>
      </c>
      <c r="N628" s="98" t="s">
        <v>69</v>
      </c>
      <c r="O628" s="99" t="s">
        <v>70</v>
      </c>
      <c r="P628" s="151">
        <f>IF(ISBLANK(N628),"",1)</f>
        <v>1</v>
      </c>
      <c r="Q628" s="101">
        <f t="shared" si="166"/>
        <v>350000000</v>
      </c>
      <c r="R628" s="101">
        <f t="shared" si="167"/>
        <v>350000000</v>
      </c>
      <c r="S628" s="144" t="s">
        <v>56</v>
      </c>
      <c r="T628" s="151">
        <f>IF(ISBLANK(S628),"",IF(VALUE(S628)=0,0,IF(VALUE(S628)=1,3,"")))</f>
        <v>0</v>
      </c>
      <c r="U628" s="27" t="str">
        <f t="shared" si="163"/>
        <v>SUBDIRECCION DE GESTION CONTRACTUAL</v>
      </c>
      <c r="V628" s="151" t="str">
        <f t="shared" si="164"/>
        <v>CO-DC</v>
      </c>
      <c r="W628" s="151" t="str">
        <f t="shared" si="165"/>
        <v>Distrito Capital de Bogotá</v>
      </c>
      <c r="X628" s="131" t="s">
        <v>738</v>
      </c>
      <c r="Y628" s="104">
        <v>2427401</v>
      </c>
      <c r="Z628" s="88" t="s">
        <v>739</v>
      </c>
    </row>
    <row r="629" spans="1:26" s="61" customFormat="1" ht="13.9" hidden="1" customHeight="1" x14ac:dyDescent="0.2">
      <c r="A629" s="171" t="s">
        <v>734</v>
      </c>
      <c r="B629" s="104">
        <v>17</v>
      </c>
      <c r="C629" s="134" t="s">
        <v>759</v>
      </c>
      <c r="D629" s="131" t="s">
        <v>478</v>
      </c>
      <c r="E629" s="132">
        <v>53496880</v>
      </c>
      <c r="F629" s="132">
        <f>150000000+45000000-53496880</f>
        <v>141503120</v>
      </c>
      <c r="G629" s="132"/>
      <c r="H629" s="94" t="s">
        <v>59</v>
      </c>
      <c r="I629" s="134" t="s">
        <v>741</v>
      </c>
      <c r="J629" s="95">
        <v>3</v>
      </c>
      <c r="K629" s="96">
        <v>4</v>
      </c>
      <c r="L629" s="97">
        <v>9</v>
      </c>
      <c r="M629" s="91">
        <f t="shared" si="158"/>
        <v>1</v>
      </c>
      <c r="N629" s="98" t="s">
        <v>61</v>
      </c>
      <c r="O629" s="99" t="s">
        <v>62</v>
      </c>
      <c r="P629" s="151">
        <f>IF(ISBLANK(N629),"",1)</f>
        <v>1</v>
      </c>
      <c r="Q629" s="101">
        <f t="shared" si="166"/>
        <v>195000000</v>
      </c>
      <c r="R629" s="101">
        <f t="shared" si="167"/>
        <v>141503120</v>
      </c>
      <c r="S629" s="144" t="s">
        <v>56</v>
      </c>
      <c r="T629" s="151">
        <f>IF(ISBLANK(S629),"",IF(VALUE(S629)=0,0,IF(VALUE(S629)=1,3,"")))</f>
        <v>0</v>
      </c>
      <c r="U629" s="27" t="str">
        <f t="shared" si="163"/>
        <v>SUBDIRECCION DE GESTION CONTRACTUAL</v>
      </c>
      <c r="V629" s="91" t="str">
        <f t="shared" si="164"/>
        <v>CO-DC</v>
      </c>
      <c r="W629" s="27" t="str">
        <f t="shared" si="165"/>
        <v>Distrito Capital de Bogotá</v>
      </c>
      <c r="X629" s="103" t="s">
        <v>162</v>
      </c>
      <c r="Y629" s="104">
        <v>2427400</v>
      </c>
      <c r="Z629" s="133" t="s">
        <v>163</v>
      </c>
    </row>
    <row r="630" spans="1:26" s="61" customFormat="1" ht="13.9" hidden="1" customHeight="1" x14ac:dyDescent="0.2">
      <c r="A630" s="171" t="s">
        <v>734</v>
      </c>
      <c r="B630" s="104">
        <v>18</v>
      </c>
      <c r="C630" s="134" t="s">
        <v>759</v>
      </c>
      <c r="D630" s="131" t="s">
        <v>478</v>
      </c>
      <c r="E630" s="132"/>
      <c r="F630" s="132">
        <f>100000000+20000000</f>
        <v>120000000</v>
      </c>
      <c r="G630" s="132"/>
      <c r="H630" s="94" t="s">
        <v>71</v>
      </c>
      <c r="I630" s="134" t="s">
        <v>765</v>
      </c>
      <c r="J630" s="95">
        <v>2</v>
      </c>
      <c r="K630" s="96">
        <v>3</v>
      </c>
      <c r="L630" s="97">
        <v>10</v>
      </c>
      <c r="M630" s="91">
        <f t="shared" si="158"/>
        <v>1</v>
      </c>
      <c r="N630" s="98" t="s">
        <v>64</v>
      </c>
      <c r="O630" s="99" t="s">
        <v>65</v>
      </c>
      <c r="P630" s="151">
        <v>1</v>
      </c>
      <c r="Q630" s="101">
        <f t="shared" si="166"/>
        <v>120000000</v>
      </c>
      <c r="R630" s="101">
        <f t="shared" si="167"/>
        <v>120000000</v>
      </c>
      <c r="S630" s="144" t="s">
        <v>366</v>
      </c>
      <c r="T630" s="151">
        <v>3</v>
      </c>
      <c r="U630" s="27" t="str">
        <f t="shared" si="163"/>
        <v>SUBDIRECCION DE GESTION CONTRACTUAL</v>
      </c>
      <c r="V630" s="151" t="s">
        <v>207</v>
      </c>
      <c r="W630" s="151" t="s">
        <v>208</v>
      </c>
      <c r="X630" s="131" t="s">
        <v>738</v>
      </c>
      <c r="Y630" s="104">
        <v>2427401</v>
      </c>
      <c r="Z630" s="88" t="s">
        <v>739</v>
      </c>
    </row>
    <row r="631" spans="1:26" s="61" customFormat="1" ht="13.9" hidden="1" customHeight="1" x14ac:dyDescent="0.2">
      <c r="A631" s="171" t="s">
        <v>734</v>
      </c>
      <c r="B631" s="104">
        <v>19</v>
      </c>
      <c r="C631" s="134" t="s">
        <v>759</v>
      </c>
      <c r="D631" s="131" t="s">
        <v>478</v>
      </c>
      <c r="E631" s="132"/>
      <c r="F631" s="132">
        <v>1500000000</v>
      </c>
      <c r="G631" s="132"/>
      <c r="H631" s="131" t="s">
        <v>747</v>
      </c>
      <c r="I631" s="134" t="s">
        <v>748</v>
      </c>
      <c r="J631" s="104">
        <v>3</v>
      </c>
      <c r="K631" s="104">
        <v>3</v>
      </c>
      <c r="L631" s="104">
        <v>9</v>
      </c>
      <c r="M631" s="91">
        <f t="shared" si="158"/>
        <v>1</v>
      </c>
      <c r="N631" s="98" t="s">
        <v>64</v>
      </c>
      <c r="O631" s="99" t="s">
        <v>65</v>
      </c>
      <c r="P631" s="151">
        <f>IF(ISBLANK(N631),"",1)</f>
        <v>1</v>
      </c>
      <c r="Q631" s="101">
        <f t="shared" si="166"/>
        <v>1500000000</v>
      </c>
      <c r="R631" s="101">
        <f t="shared" si="167"/>
        <v>1500000000</v>
      </c>
      <c r="S631" s="144" t="s">
        <v>56</v>
      </c>
      <c r="T631" s="151">
        <f>IF(ISBLANK(S631),"",IF(VALUE(S631)=0,0,IF(VALUE(S631)=1,3,"")))</f>
        <v>0</v>
      </c>
      <c r="U631" s="27" t="str">
        <f t="shared" si="163"/>
        <v>SUBDIRECCION DE GESTION CONTRACTUAL</v>
      </c>
      <c r="V631" s="151" t="str">
        <f t="shared" ref="V631:V653" si="168">IF(ISBLANK(N631),"","CO-DC")</f>
        <v>CO-DC</v>
      </c>
      <c r="W631" s="27" t="str">
        <f t="shared" ref="W631:W653" si="169">IF(ISBLANK(N631),"","Distrito Capital de Bogotá")</f>
        <v>Distrito Capital de Bogotá</v>
      </c>
      <c r="X631" s="131" t="s">
        <v>738</v>
      </c>
      <c r="Y631" s="104">
        <v>2427401</v>
      </c>
      <c r="Z631" s="88" t="s">
        <v>739</v>
      </c>
    </row>
    <row r="632" spans="1:26" s="61" customFormat="1" ht="13.9" hidden="1" customHeight="1" x14ac:dyDescent="0.2">
      <c r="A632" s="171" t="s">
        <v>734</v>
      </c>
      <c r="B632" s="104">
        <v>20</v>
      </c>
      <c r="C632" s="134" t="s">
        <v>759</v>
      </c>
      <c r="D632" s="131" t="s">
        <v>478</v>
      </c>
      <c r="E632" s="132"/>
      <c r="F632" s="132">
        <f>2500000000-2500000000</f>
        <v>0</v>
      </c>
      <c r="G632" s="132"/>
      <c r="H632" s="131" t="s">
        <v>766</v>
      </c>
      <c r="I632" s="134" t="s">
        <v>767</v>
      </c>
      <c r="J632" s="104">
        <v>4</v>
      </c>
      <c r="K632" s="104">
        <v>4</v>
      </c>
      <c r="L632" s="104">
        <v>8</v>
      </c>
      <c r="M632" s="91">
        <f t="shared" si="158"/>
        <v>1</v>
      </c>
      <c r="N632" s="98" t="s">
        <v>64</v>
      </c>
      <c r="O632" s="99" t="s">
        <v>65</v>
      </c>
      <c r="P632" s="151">
        <f>IF(ISBLANK(N632),"",1)</f>
        <v>1</v>
      </c>
      <c r="Q632" s="101">
        <f t="shared" si="166"/>
        <v>0</v>
      </c>
      <c r="R632" s="101">
        <f t="shared" si="167"/>
        <v>0</v>
      </c>
      <c r="S632" s="144" t="s">
        <v>56</v>
      </c>
      <c r="T632" s="151">
        <f>IF(ISBLANK(S632),"",IF(VALUE(S632)=0,0,IF(VALUE(S632)=1,3,"")))</f>
        <v>0</v>
      </c>
      <c r="U632" s="27" t="str">
        <f t="shared" si="163"/>
        <v>SUBDIRECCION DE GESTION CONTRACTUAL</v>
      </c>
      <c r="V632" s="151" t="str">
        <f t="shared" si="168"/>
        <v>CO-DC</v>
      </c>
      <c r="W632" s="151" t="str">
        <f t="shared" si="169"/>
        <v>Distrito Capital de Bogotá</v>
      </c>
      <c r="X632" s="131" t="s">
        <v>738</v>
      </c>
      <c r="Y632" s="104">
        <v>2427401</v>
      </c>
      <c r="Z632" s="88" t="s">
        <v>739</v>
      </c>
    </row>
    <row r="633" spans="1:26" s="61" customFormat="1" ht="13.9" hidden="1" customHeight="1" x14ac:dyDescent="0.2">
      <c r="A633" s="171" t="s">
        <v>734</v>
      </c>
      <c r="B633" s="104">
        <v>21</v>
      </c>
      <c r="C633" s="134" t="s">
        <v>759</v>
      </c>
      <c r="D633" s="131" t="s">
        <v>478</v>
      </c>
      <c r="E633" s="132"/>
      <c r="F633" s="132">
        <f>1500000000+750000000-2250000000</f>
        <v>0</v>
      </c>
      <c r="G633" s="132"/>
      <c r="H633" s="131" t="s">
        <v>768</v>
      </c>
      <c r="I633" s="134" t="s">
        <v>769</v>
      </c>
      <c r="J633" s="104">
        <v>4</v>
      </c>
      <c r="K633" s="104">
        <v>4</v>
      </c>
      <c r="L633" s="104">
        <v>8</v>
      </c>
      <c r="M633" s="91">
        <f t="shared" si="158"/>
        <v>1</v>
      </c>
      <c r="N633" s="98" t="s">
        <v>64</v>
      </c>
      <c r="O633" s="99" t="s">
        <v>65</v>
      </c>
      <c r="P633" s="151">
        <f>IF(ISBLANK(N633),"",1)</f>
        <v>1</v>
      </c>
      <c r="Q633" s="101">
        <f t="shared" si="166"/>
        <v>0</v>
      </c>
      <c r="R633" s="101">
        <f t="shared" si="167"/>
        <v>0</v>
      </c>
      <c r="S633" s="144" t="s">
        <v>56</v>
      </c>
      <c r="T633" s="151">
        <f>IF(ISBLANK(S633),"",IF(VALUE(S633)=0,0,IF(VALUE(S633)=1,3,"")))</f>
        <v>0</v>
      </c>
      <c r="U633" s="27" t="str">
        <f t="shared" si="163"/>
        <v>SUBDIRECCION DE GESTION CONTRACTUAL</v>
      </c>
      <c r="V633" s="151" t="str">
        <f t="shared" si="168"/>
        <v>CO-DC</v>
      </c>
      <c r="W633" s="151" t="str">
        <f t="shared" si="169"/>
        <v>Distrito Capital de Bogotá</v>
      </c>
      <c r="X633" s="131" t="s">
        <v>738</v>
      </c>
      <c r="Y633" s="104">
        <v>2427401</v>
      </c>
      <c r="Z633" s="88" t="s">
        <v>739</v>
      </c>
    </row>
    <row r="634" spans="1:26" s="61" customFormat="1" ht="13.9" hidden="1" customHeight="1" x14ac:dyDescent="0.2">
      <c r="A634" s="171" t="s">
        <v>734</v>
      </c>
      <c r="B634" s="104">
        <v>22</v>
      </c>
      <c r="C634" s="134" t="s">
        <v>770</v>
      </c>
      <c r="D634" s="131" t="s">
        <v>478</v>
      </c>
      <c r="E634" s="132"/>
      <c r="F634" s="132">
        <f>680000000-102000000</f>
        <v>578000000</v>
      </c>
      <c r="G634" s="132"/>
      <c r="H634" s="131">
        <v>80111600</v>
      </c>
      <c r="I634" s="134" t="s">
        <v>752</v>
      </c>
      <c r="J634" s="104">
        <v>1</v>
      </c>
      <c r="K634" s="104">
        <v>1</v>
      </c>
      <c r="L634" s="104">
        <v>12</v>
      </c>
      <c r="M634" s="91">
        <f t="shared" si="158"/>
        <v>1</v>
      </c>
      <c r="N634" s="98" t="s">
        <v>54</v>
      </c>
      <c r="O634" s="99" t="s">
        <v>55</v>
      </c>
      <c r="P634" s="151">
        <f>IF(ISBLANK(N634),"",1)</f>
        <v>1</v>
      </c>
      <c r="Q634" s="101">
        <f t="shared" si="166"/>
        <v>578000000</v>
      </c>
      <c r="R634" s="101">
        <f t="shared" si="167"/>
        <v>578000000</v>
      </c>
      <c r="S634" s="144" t="s">
        <v>56</v>
      </c>
      <c r="T634" s="151">
        <f>IF(ISBLANK(S634),"",IF(VALUE(S634)=0,0,IF(VALUE(S634)=1,3,"")))</f>
        <v>0</v>
      </c>
      <c r="U634" s="27" t="str">
        <f t="shared" si="163"/>
        <v>SUBDIRECCION DE GESTION CONTRACTUAL</v>
      </c>
      <c r="V634" s="151" t="str">
        <f t="shared" si="168"/>
        <v>CO-DC</v>
      </c>
      <c r="W634" s="151" t="str">
        <f t="shared" si="169"/>
        <v>Distrito Capital de Bogotá</v>
      </c>
      <c r="X634" s="131" t="s">
        <v>738</v>
      </c>
      <c r="Y634" s="104">
        <v>2427401</v>
      </c>
      <c r="Z634" s="88" t="s">
        <v>739</v>
      </c>
    </row>
    <row r="635" spans="1:26" s="61" customFormat="1" ht="13.9" hidden="1" customHeight="1" x14ac:dyDescent="0.2">
      <c r="A635" s="171" t="s">
        <v>734</v>
      </c>
      <c r="B635" s="104">
        <v>23</v>
      </c>
      <c r="C635" s="134" t="s">
        <v>771</v>
      </c>
      <c r="D635" s="131" t="s">
        <v>478</v>
      </c>
      <c r="E635" s="132"/>
      <c r="F635" s="132">
        <f>620000000-620000000</f>
        <v>0</v>
      </c>
      <c r="G635" s="132"/>
      <c r="H635" s="131" t="s">
        <v>766</v>
      </c>
      <c r="I635" s="134" t="s">
        <v>767</v>
      </c>
      <c r="J635" s="104">
        <v>4</v>
      </c>
      <c r="K635" s="104">
        <v>4</v>
      </c>
      <c r="L635" s="104">
        <v>8</v>
      </c>
      <c r="M635" s="91">
        <f t="shared" si="158"/>
        <v>1</v>
      </c>
      <c r="N635" s="98" t="s">
        <v>64</v>
      </c>
      <c r="O635" s="99" t="s">
        <v>65</v>
      </c>
      <c r="P635" s="151">
        <f>IF(ISBLANK(N635),"",1)</f>
        <v>1</v>
      </c>
      <c r="Q635" s="101">
        <f t="shared" si="166"/>
        <v>0</v>
      </c>
      <c r="R635" s="101">
        <f t="shared" si="167"/>
        <v>0</v>
      </c>
      <c r="S635" s="144" t="s">
        <v>56</v>
      </c>
      <c r="T635" s="151">
        <f>IF(ISBLANK(S635),"",IF(VALUE(S635)=0,0,IF(VALUE(S635)=1,3,"")))</f>
        <v>0</v>
      </c>
      <c r="U635" s="27" t="str">
        <f t="shared" si="163"/>
        <v>SUBDIRECCION DE GESTION CONTRACTUAL</v>
      </c>
      <c r="V635" s="151" t="str">
        <f t="shared" si="168"/>
        <v>CO-DC</v>
      </c>
      <c r="W635" s="151" t="str">
        <f t="shared" si="169"/>
        <v>Distrito Capital de Bogotá</v>
      </c>
      <c r="X635" s="131" t="s">
        <v>738</v>
      </c>
      <c r="Y635" s="104">
        <v>2427401</v>
      </c>
      <c r="Z635" s="88" t="s">
        <v>739</v>
      </c>
    </row>
    <row r="636" spans="1:26" s="61" customFormat="1" ht="13.9" hidden="1" customHeight="1" x14ac:dyDescent="0.2">
      <c r="A636" s="171" t="s">
        <v>734</v>
      </c>
      <c r="B636" s="104">
        <v>24</v>
      </c>
      <c r="C636" s="134" t="s">
        <v>759</v>
      </c>
      <c r="D636" s="131" t="s">
        <v>478</v>
      </c>
      <c r="E636" s="132"/>
      <c r="F636" s="132">
        <f>50000000-50000000</f>
        <v>0</v>
      </c>
      <c r="G636" s="132"/>
      <c r="H636" s="94" t="s">
        <v>67</v>
      </c>
      <c r="I636" s="134" t="s">
        <v>740</v>
      </c>
      <c r="J636" s="124">
        <v>1</v>
      </c>
      <c r="K636" s="124">
        <v>2</v>
      </c>
      <c r="L636" s="124">
        <v>3</v>
      </c>
      <c r="M636" s="91">
        <f t="shared" ref="M636:M653" si="170">IF(ISBLANK(J636),"",1)</f>
        <v>1</v>
      </c>
      <c r="N636" s="98" t="s">
        <v>64</v>
      </c>
      <c r="O636" s="99" t="s">
        <v>65</v>
      </c>
      <c r="P636" s="151">
        <v>1</v>
      </c>
      <c r="Q636" s="101">
        <f t="shared" si="166"/>
        <v>0</v>
      </c>
      <c r="R636" s="101">
        <f t="shared" si="167"/>
        <v>0</v>
      </c>
      <c r="S636" s="144" t="s">
        <v>56</v>
      </c>
      <c r="T636" s="151">
        <v>0</v>
      </c>
      <c r="U636" s="27" t="str">
        <f t="shared" ref="U636:U653" si="171">IF(ISBLANK(N636),"","SUBDIRECCION DE GESTION CONTRACTUAL")</f>
        <v>SUBDIRECCION DE GESTION CONTRACTUAL</v>
      </c>
      <c r="V636" s="151" t="str">
        <f t="shared" si="168"/>
        <v>CO-DC</v>
      </c>
      <c r="W636" s="151" t="str">
        <f t="shared" si="169"/>
        <v>Distrito Capital de Bogotá</v>
      </c>
      <c r="X636" s="131" t="s">
        <v>772</v>
      </c>
      <c r="Y636" s="104">
        <v>2427401</v>
      </c>
      <c r="Z636" s="133" t="s">
        <v>773</v>
      </c>
    </row>
    <row r="637" spans="1:26" s="61" customFormat="1" ht="13.9" hidden="1" customHeight="1" x14ac:dyDescent="0.2">
      <c r="A637" s="171" t="s">
        <v>734</v>
      </c>
      <c r="B637" s="104">
        <v>25</v>
      </c>
      <c r="C637" s="134" t="s">
        <v>771</v>
      </c>
      <c r="D637" s="131" t="s">
        <v>478</v>
      </c>
      <c r="E637" s="132"/>
      <c r="F637" s="132">
        <f>216000000-50000000</f>
        <v>166000000</v>
      </c>
      <c r="G637" s="132"/>
      <c r="H637" s="131">
        <v>80111600</v>
      </c>
      <c r="I637" s="134" t="s">
        <v>752</v>
      </c>
      <c r="J637" s="104">
        <v>1</v>
      </c>
      <c r="K637" s="104">
        <v>1</v>
      </c>
      <c r="L637" s="104">
        <v>12</v>
      </c>
      <c r="M637" s="91">
        <f t="shared" si="170"/>
        <v>1</v>
      </c>
      <c r="N637" s="98" t="s">
        <v>54</v>
      </c>
      <c r="O637" s="99" t="s">
        <v>55</v>
      </c>
      <c r="P637" s="151">
        <f t="shared" ref="P637:P644" si="172">IF(ISBLANK(N637),"",1)</f>
        <v>1</v>
      </c>
      <c r="Q637" s="101">
        <f t="shared" si="166"/>
        <v>166000000</v>
      </c>
      <c r="R637" s="101">
        <f t="shared" si="167"/>
        <v>166000000</v>
      </c>
      <c r="S637" s="144" t="s">
        <v>56</v>
      </c>
      <c r="T637" s="151">
        <f t="shared" ref="T637:T644" si="173">IF(ISBLANK(S637),"",IF(VALUE(S637)=0,0,IF(VALUE(S637)=1,3,"")))</f>
        <v>0</v>
      </c>
      <c r="U637" s="27" t="str">
        <f t="shared" si="171"/>
        <v>SUBDIRECCION DE GESTION CONTRACTUAL</v>
      </c>
      <c r="V637" s="151" t="str">
        <f t="shared" si="168"/>
        <v>CO-DC</v>
      </c>
      <c r="W637" s="151" t="str">
        <f t="shared" si="169"/>
        <v>Distrito Capital de Bogotá</v>
      </c>
      <c r="X637" s="131" t="s">
        <v>738</v>
      </c>
      <c r="Y637" s="104">
        <v>2427401</v>
      </c>
      <c r="Z637" s="88" t="s">
        <v>739</v>
      </c>
    </row>
    <row r="638" spans="1:26" s="61" customFormat="1" ht="13.9" hidden="1" customHeight="1" x14ac:dyDescent="0.2">
      <c r="A638" s="171" t="s">
        <v>734</v>
      </c>
      <c r="B638" s="104">
        <v>26</v>
      </c>
      <c r="C638" s="134" t="s">
        <v>774</v>
      </c>
      <c r="D638" s="131" t="s">
        <v>478</v>
      </c>
      <c r="E638" s="132"/>
      <c r="F638" s="132">
        <f>420000000-75750000+17400000</f>
        <v>361650000</v>
      </c>
      <c r="G638" s="132"/>
      <c r="H638" s="131">
        <v>80111600</v>
      </c>
      <c r="I638" s="134" t="s">
        <v>752</v>
      </c>
      <c r="J638" s="104">
        <v>1</v>
      </c>
      <c r="K638" s="104">
        <v>1</v>
      </c>
      <c r="L638" s="104">
        <v>12</v>
      </c>
      <c r="M638" s="91">
        <f t="shared" si="170"/>
        <v>1</v>
      </c>
      <c r="N638" s="98" t="s">
        <v>54</v>
      </c>
      <c r="O638" s="99" t="s">
        <v>55</v>
      </c>
      <c r="P638" s="151">
        <f t="shared" si="172"/>
        <v>1</v>
      </c>
      <c r="Q638" s="101">
        <f t="shared" si="166"/>
        <v>361650000</v>
      </c>
      <c r="R638" s="101">
        <f t="shared" si="167"/>
        <v>361650000</v>
      </c>
      <c r="S638" s="144" t="s">
        <v>56</v>
      </c>
      <c r="T638" s="151">
        <f t="shared" si="173"/>
        <v>0</v>
      </c>
      <c r="U638" s="27" t="str">
        <f t="shared" si="171"/>
        <v>SUBDIRECCION DE GESTION CONTRACTUAL</v>
      </c>
      <c r="V638" s="151" t="str">
        <f t="shared" si="168"/>
        <v>CO-DC</v>
      </c>
      <c r="W638" s="151" t="str">
        <f t="shared" si="169"/>
        <v>Distrito Capital de Bogotá</v>
      </c>
      <c r="X638" s="131" t="s">
        <v>760</v>
      </c>
      <c r="Y638" s="104">
        <v>2427401</v>
      </c>
      <c r="Z638" s="88" t="s">
        <v>761</v>
      </c>
    </row>
    <row r="639" spans="1:26" s="61" customFormat="1" ht="13.9" hidden="1" customHeight="1" x14ac:dyDescent="0.2">
      <c r="A639" s="171" t="s">
        <v>734</v>
      </c>
      <c r="B639" s="104">
        <v>27</v>
      </c>
      <c r="C639" s="134" t="s">
        <v>774</v>
      </c>
      <c r="D639" s="131" t="s">
        <v>478</v>
      </c>
      <c r="E639" s="132"/>
      <c r="F639" s="132">
        <v>426500000</v>
      </c>
      <c r="G639" s="132"/>
      <c r="H639" s="131" t="s">
        <v>747</v>
      </c>
      <c r="I639" s="134" t="s">
        <v>748</v>
      </c>
      <c r="J639" s="104">
        <v>3</v>
      </c>
      <c r="K639" s="104">
        <v>3</v>
      </c>
      <c r="L639" s="104">
        <v>9</v>
      </c>
      <c r="M639" s="91">
        <f t="shared" si="170"/>
        <v>1</v>
      </c>
      <c r="N639" s="98" t="s">
        <v>64</v>
      </c>
      <c r="O639" s="99" t="s">
        <v>65</v>
      </c>
      <c r="P639" s="151">
        <f t="shared" si="172"/>
        <v>1</v>
      </c>
      <c r="Q639" s="101">
        <f t="shared" si="166"/>
        <v>426500000</v>
      </c>
      <c r="R639" s="101">
        <f t="shared" si="167"/>
        <v>426500000</v>
      </c>
      <c r="S639" s="144" t="s">
        <v>56</v>
      </c>
      <c r="T639" s="151">
        <f t="shared" si="173"/>
        <v>0</v>
      </c>
      <c r="U639" s="27" t="str">
        <f t="shared" si="171"/>
        <v>SUBDIRECCION DE GESTION CONTRACTUAL</v>
      </c>
      <c r="V639" s="151" t="str">
        <f t="shared" si="168"/>
        <v>CO-DC</v>
      </c>
      <c r="W639" s="151" t="str">
        <f t="shared" si="169"/>
        <v>Distrito Capital de Bogotá</v>
      </c>
      <c r="X639" s="131" t="s">
        <v>738</v>
      </c>
      <c r="Y639" s="104">
        <v>2427401</v>
      </c>
      <c r="Z639" s="88" t="s">
        <v>739</v>
      </c>
    </row>
    <row r="640" spans="1:26" s="61" customFormat="1" ht="13.9" hidden="1" customHeight="1" x14ac:dyDescent="0.2">
      <c r="A640" s="171" t="s">
        <v>734</v>
      </c>
      <c r="B640" s="104">
        <v>28</v>
      </c>
      <c r="C640" s="134" t="s">
        <v>775</v>
      </c>
      <c r="D640" s="131" t="s">
        <v>776</v>
      </c>
      <c r="E640" s="132"/>
      <c r="F640" s="132">
        <f>864000000-864000000</f>
        <v>0</v>
      </c>
      <c r="G640" s="132"/>
      <c r="H640" s="131" t="s">
        <v>777</v>
      </c>
      <c r="I640" s="134" t="s">
        <v>778</v>
      </c>
      <c r="J640" s="104">
        <v>3</v>
      </c>
      <c r="K640" s="104">
        <v>3</v>
      </c>
      <c r="L640" s="104">
        <v>9</v>
      </c>
      <c r="M640" s="91">
        <f t="shared" si="170"/>
        <v>1</v>
      </c>
      <c r="N640" s="98" t="s">
        <v>64</v>
      </c>
      <c r="O640" s="99" t="s">
        <v>65</v>
      </c>
      <c r="P640" s="151">
        <f t="shared" si="172"/>
        <v>1</v>
      </c>
      <c r="Q640" s="101">
        <f t="shared" si="166"/>
        <v>0</v>
      </c>
      <c r="R640" s="101">
        <f t="shared" si="167"/>
        <v>0</v>
      </c>
      <c r="S640" s="144" t="s">
        <v>56</v>
      </c>
      <c r="T640" s="151">
        <f t="shared" si="173"/>
        <v>0</v>
      </c>
      <c r="U640" s="27" t="str">
        <f t="shared" si="171"/>
        <v>SUBDIRECCION DE GESTION CONTRACTUAL</v>
      </c>
      <c r="V640" s="151" t="str">
        <f t="shared" si="168"/>
        <v>CO-DC</v>
      </c>
      <c r="W640" s="151" t="str">
        <f t="shared" si="169"/>
        <v>Distrito Capital de Bogotá</v>
      </c>
      <c r="X640" s="131" t="s">
        <v>738</v>
      </c>
      <c r="Y640" s="104">
        <v>2427401</v>
      </c>
      <c r="Z640" s="88" t="s">
        <v>739</v>
      </c>
    </row>
    <row r="641" spans="1:26" s="61" customFormat="1" ht="13.9" hidden="1" customHeight="1" x14ac:dyDescent="0.2">
      <c r="A641" s="171" t="s">
        <v>734</v>
      </c>
      <c r="B641" s="104">
        <v>29</v>
      </c>
      <c r="C641" s="134" t="s">
        <v>775</v>
      </c>
      <c r="D641" s="131" t="s">
        <v>776</v>
      </c>
      <c r="E641" s="132"/>
      <c r="F641" s="132">
        <v>288000000</v>
      </c>
      <c r="G641" s="132"/>
      <c r="H641" s="131">
        <v>80111600</v>
      </c>
      <c r="I641" s="134" t="s">
        <v>752</v>
      </c>
      <c r="J641" s="104">
        <v>1</v>
      </c>
      <c r="K641" s="104">
        <v>1</v>
      </c>
      <c r="L641" s="104">
        <v>12</v>
      </c>
      <c r="M641" s="91">
        <f t="shared" si="170"/>
        <v>1</v>
      </c>
      <c r="N641" s="98" t="s">
        <v>54</v>
      </c>
      <c r="O641" s="99" t="s">
        <v>55</v>
      </c>
      <c r="P641" s="151">
        <f t="shared" si="172"/>
        <v>1</v>
      </c>
      <c r="Q641" s="101">
        <f t="shared" si="166"/>
        <v>288000000</v>
      </c>
      <c r="R641" s="101">
        <f t="shared" si="167"/>
        <v>288000000</v>
      </c>
      <c r="S641" s="144" t="s">
        <v>56</v>
      </c>
      <c r="T641" s="151">
        <f t="shared" si="173"/>
        <v>0</v>
      </c>
      <c r="U641" s="27" t="str">
        <f t="shared" si="171"/>
        <v>SUBDIRECCION DE GESTION CONTRACTUAL</v>
      </c>
      <c r="V641" s="151" t="str">
        <f t="shared" si="168"/>
        <v>CO-DC</v>
      </c>
      <c r="W641" s="151" t="str">
        <f t="shared" si="169"/>
        <v>Distrito Capital de Bogotá</v>
      </c>
      <c r="X641" s="131" t="s">
        <v>738</v>
      </c>
      <c r="Y641" s="104">
        <v>2427401</v>
      </c>
      <c r="Z641" s="88" t="s">
        <v>739</v>
      </c>
    </row>
    <row r="642" spans="1:26" s="61" customFormat="1" ht="13.9" hidden="1" customHeight="1" x14ac:dyDescent="0.2">
      <c r="A642" s="171" t="s">
        <v>734</v>
      </c>
      <c r="B642" s="104">
        <v>30</v>
      </c>
      <c r="C642" s="134" t="s">
        <v>779</v>
      </c>
      <c r="D642" s="131" t="s">
        <v>776</v>
      </c>
      <c r="E642" s="132"/>
      <c r="F642" s="132">
        <f>1500000000-1500000000</f>
        <v>0</v>
      </c>
      <c r="G642" s="132"/>
      <c r="H642" s="131" t="s">
        <v>777</v>
      </c>
      <c r="I642" s="134" t="s">
        <v>778</v>
      </c>
      <c r="J642" s="104">
        <v>3</v>
      </c>
      <c r="K642" s="104">
        <v>3</v>
      </c>
      <c r="L642" s="104">
        <v>9</v>
      </c>
      <c r="M642" s="91">
        <f t="shared" si="170"/>
        <v>1</v>
      </c>
      <c r="N642" s="98" t="s">
        <v>64</v>
      </c>
      <c r="O642" s="99" t="s">
        <v>65</v>
      </c>
      <c r="P642" s="151">
        <f t="shared" si="172"/>
        <v>1</v>
      </c>
      <c r="Q642" s="101">
        <f t="shared" si="166"/>
        <v>0</v>
      </c>
      <c r="R642" s="101">
        <f t="shared" si="167"/>
        <v>0</v>
      </c>
      <c r="S642" s="144" t="s">
        <v>56</v>
      </c>
      <c r="T642" s="151">
        <f t="shared" si="173"/>
        <v>0</v>
      </c>
      <c r="U642" s="27" t="str">
        <f t="shared" si="171"/>
        <v>SUBDIRECCION DE GESTION CONTRACTUAL</v>
      </c>
      <c r="V642" s="151" t="str">
        <f t="shared" si="168"/>
        <v>CO-DC</v>
      </c>
      <c r="W642" s="151" t="str">
        <f t="shared" si="169"/>
        <v>Distrito Capital de Bogotá</v>
      </c>
      <c r="X642" s="131" t="s">
        <v>738</v>
      </c>
      <c r="Y642" s="104">
        <v>2427401</v>
      </c>
      <c r="Z642" s="88" t="s">
        <v>739</v>
      </c>
    </row>
    <row r="643" spans="1:26" s="61" customFormat="1" ht="13.9" hidden="1" customHeight="1" x14ac:dyDescent="0.2">
      <c r="A643" s="171" t="s">
        <v>734</v>
      </c>
      <c r="B643" s="104">
        <v>31</v>
      </c>
      <c r="C643" s="134" t="s">
        <v>779</v>
      </c>
      <c r="D643" s="131" t="s">
        <v>776</v>
      </c>
      <c r="E643" s="132"/>
      <c r="F643" s="132">
        <v>1500000000</v>
      </c>
      <c r="G643" s="132"/>
      <c r="H643" s="131" t="s">
        <v>747</v>
      </c>
      <c r="I643" s="134" t="s">
        <v>748</v>
      </c>
      <c r="J643" s="104">
        <v>3</v>
      </c>
      <c r="K643" s="104">
        <v>3</v>
      </c>
      <c r="L643" s="104">
        <v>9</v>
      </c>
      <c r="M643" s="91">
        <f t="shared" si="170"/>
        <v>1</v>
      </c>
      <c r="N643" s="98" t="s">
        <v>64</v>
      </c>
      <c r="O643" s="99" t="s">
        <v>65</v>
      </c>
      <c r="P643" s="151">
        <f t="shared" si="172"/>
        <v>1</v>
      </c>
      <c r="Q643" s="101">
        <f t="shared" si="166"/>
        <v>1500000000</v>
      </c>
      <c r="R643" s="101">
        <f t="shared" si="167"/>
        <v>1500000000</v>
      </c>
      <c r="S643" s="144" t="s">
        <v>56</v>
      </c>
      <c r="T643" s="151">
        <f t="shared" si="173"/>
        <v>0</v>
      </c>
      <c r="U643" s="27" t="str">
        <f t="shared" si="171"/>
        <v>SUBDIRECCION DE GESTION CONTRACTUAL</v>
      </c>
      <c r="V643" s="151" t="str">
        <f t="shared" si="168"/>
        <v>CO-DC</v>
      </c>
      <c r="W643" s="151" t="str">
        <f t="shared" si="169"/>
        <v>Distrito Capital de Bogotá</v>
      </c>
      <c r="X643" s="131" t="s">
        <v>738</v>
      </c>
      <c r="Y643" s="104">
        <v>2427401</v>
      </c>
      <c r="Z643" s="88" t="s">
        <v>739</v>
      </c>
    </row>
    <row r="644" spans="1:26" s="61" customFormat="1" ht="13.9" hidden="1" customHeight="1" x14ac:dyDescent="0.2">
      <c r="A644" s="171" t="s">
        <v>734</v>
      </c>
      <c r="B644" s="104">
        <v>32</v>
      </c>
      <c r="C644" s="134" t="s">
        <v>780</v>
      </c>
      <c r="D644" s="131" t="s">
        <v>776</v>
      </c>
      <c r="E644" s="132"/>
      <c r="F644" s="132">
        <v>3134000000</v>
      </c>
      <c r="G644" s="132"/>
      <c r="H644" s="131">
        <v>80111600</v>
      </c>
      <c r="I644" s="134" t="s">
        <v>752</v>
      </c>
      <c r="J644" s="104">
        <v>1</v>
      </c>
      <c r="K644" s="104">
        <v>1</v>
      </c>
      <c r="L644" s="104">
        <v>12</v>
      </c>
      <c r="M644" s="91">
        <f t="shared" si="170"/>
        <v>1</v>
      </c>
      <c r="N644" s="98" t="s">
        <v>54</v>
      </c>
      <c r="O644" s="99" t="s">
        <v>55</v>
      </c>
      <c r="P644" s="151">
        <f t="shared" si="172"/>
        <v>1</v>
      </c>
      <c r="Q644" s="101">
        <f t="shared" si="166"/>
        <v>3134000000</v>
      </c>
      <c r="R644" s="101">
        <f t="shared" si="167"/>
        <v>3134000000</v>
      </c>
      <c r="S644" s="144" t="s">
        <v>56</v>
      </c>
      <c r="T644" s="151">
        <f t="shared" si="173"/>
        <v>0</v>
      </c>
      <c r="U644" s="27" t="str">
        <f t="shared" si="171"/>
        <v>SUBDIRECCION DE GESTION CONTRACTUAL</v>
      </c>
      <c r="V644" s="151" t="str">
        <f t="shared" si="168"/>
        <v>CO-DC</v>
      </c>
      <c r="W644" s="151" t="str">
        <f t="shared" si="169"/>
        <v>Distrito Capital de Bogotá</v>
      </c>
      <c r="X644" s="131" t="s">
        <v>738</v>
      </c>
      <c r="Y644" s="104">
        <v>2427401</v>
      </c>
      <c r="Z644" s="88" t="s">
        <v>739</v>
      </c>
    </row>
    <row r="645" spans="1:26" s="61" customFormat="1" ht="13.9" hidden="1" customHeight="1" x14ac:dyDescent="0.2">
      <c r="A645" s="171" t="s">
        <v>734</v>
      </c>
      <c r="B645" s="104">
        <v>33</v>
      </c>
      <c r="C645" s="134" t="s">
        <v>780</v>
      </c>
      <c r="D645" s="131" t="s">
        <v>776</v>
      </c>
      <c r="E645" s="132"/>
      <c r="F645" s="132">
        <v>160100000</v>
      </c>
      <c r="G645" s="132"/>
      <c r="H645" s="94" t="s">
        <v>67</v>
      </c>
      <c r="I645" s="134" t="s">
        <v>740</v>
      </c>
      <c r="J645" s="124">
        <v>1</v>
      </c>
      <c r="K645" s="124">
        <v>2</v>
      </c>
      <c r="L645" s="124">
        <v>3</v>
      </c>
      <c r="M645" s="91">
        <f t="shared" si="170"/>
        <v>1</v>
      </c>
      <c r="N645" s="98" t="s">
        <v>64</v>
      </c>
      <c r="O645" s="99" t="s">
        <v>65</v>
      </c>
      <c r="P645" s="151">
        <v>1</v>
      </c>
      <c r="Q645" s="101">
        <f t="shared" si="166"/>
        <v>160100000</v>
      </c>
      <c r="R645" s="101">
        <f t="shared" si="167"/>
        <v>160100000</v>
      </c>
      <c r="S645" s="144" t="s">
        <v>56</v>
      </c>
      <c r="T645" s="151">
        <v>0</v>
      </c>
      <c r="U645" s="27" t="str">
        <f t="shared" si="171"/>
        <v>SUBDIRECCION DE GESTION CONTRACTUAL</v>
      </c>
      <c r="V645" s="151" t="str">
        <f t="shared" si="168"/>
        <v>CO-DC</v>
      </c>
      <c r="W645" s="151" t="str">
        <f t="shared" si="169"/>
        <v>Distrito Capital de Bogotá</v>
      </c>
      <c r="X645" s="131" t="s">
        <v>738</v>
      </c>
      <c r="Y645" s="104">
        <v>2427401</v>
      </c>
      <c r="Z645" s="88" t="s">
        <v>739</v>
      </c>
    </row>
    <row r="646" spans="1:26" s="61" customFormat="1" ht="13.9" hidden="1" customHeight="1" x14ac:dyDescent="0.2">
      <c r="A646" s="171" t="s">
        <v>734</v>
      </c>
      <c r="B646" s="104">
        <v>34</v>
      </c>
      <c r="C646" s="134" t="s">
        <v>780</v>
      </c>
      <c r="D646" s="131" t="s">
        <v>776</v>
      </c>
      <c r="E646" s="132"/>
      <c r="F646" s="132">
        <v>2739900000</v>
      </c>
      <c r="G646" s="132"/>
      <c r="H646" s="94" t="s">
        <v>67</v>
      </c>
      <c r="I646" s="134" t="s">
        <v>740</v>
      </c>
      <c r="J646" s="95">
        <v>2</v>
      </c>
      <c r="K646" s="96">
        <v>3</v>
      </c>
      <c r="L646" s="97">
        <v>9</v>
      </c>
      <c r="M646" s="91">
        <f t="shared" si="170"/>
        <v>1</v>
      </c>
      <c r="N646" s="98" t="s">
        <v>69</v>
      </c>
      <c r="O646" s="99" t="s">
        <v>70</v>
      </c>
      <c r="P646" s="151">
        <f t="shared" ref="P646:P653" si="174">IF(ISBLANK(N646),"",1)</f>
        <v>1</v>
      </c>
      <c r="Q646" s="101">
        <f t="shared" si="166"/>
        <v>2739900000</v>
      </c>
      <c r="R646" s="101">
        <f t="shared" si="167"/>
        <v>2739900000</v>
      </c>
      <c r="S646" s="144" t="s">
        <v>56</v>
      </c>
      <c r="T646" s="151">
        <f t="shared" ref="T646:T653" si="175">IF(ISBLANK(S646),"",IF(VALUE(S646)=0,0,IF(VALUE(S646)=1,3,"")))</f>
        <v>0</v>
      </c>
      <c r="U646" s="27" t="str">
        <f t="shared" si="171"/>
        <v>SUBDIRECCION DE GESTION CONTRACTUAL</v>
      </c>
      <c r="V646" s="151" t="str">
        <f t="shared" si="168"/>
        <v>CO-DC</v>
      </c>
      <c r="W646" s="151" t="str">
        <f t="shared" si="169"/>
        <v>Distrito Capital de Bogotá</v>
      </c>
      <c r="X646" s="131" t="s">
        <v>738</v>
      </c>
      <c r="Y646" s="104">
        <v>2427401</v>
      </c>
      <c r="Z646" s="88" t="s">
        <v>739</v>
      </c>
    </row>
    <row r="647" spans="1:26" s="61" customFormat="1" ht="13.9" hidden="1" customHeight="1" x14ac:dyDescent="0.2">
      <c r="A647" s="171" t="s">
        <v>734</v>
      </c>
      <c r="B647" s="104">
        <v>35</v>
      </c>
      <c r="C647" s="134" t="s">
        <v>780</v>
      </c>
      <c r="D647" s="131" t="s">
        <v>776</v>
      </c>
      <c r="E647" s="132"/>
      <c r="F647" s="132">
        <v>450000000</v>
      </c>
      <c r="G647" s="132"/>
      <c r="H647" s="94" t="s">
        <v>59</v>
      </c>
      <c r="I647" s="134" t="s">
        <v>741</v>
      </c>
      <c r="J647" s="95">
        <v>3</v>
      </c>
      <c r="K647" s="96">
        <v>4</v>
      </c>
      <c r="L647" s="97">
        <v>9</v>
      </c>
      <c r="M647" s="91">
        <f t="shared" si="170"/>
        <v>1</v>
      </c>
      <c r="N647" s="98" t="s">
        <v>61</v>
      </c>
      <c r="O647" s="99" t="s">
        <v>62</v>
      </c>
      <c r="P647" s="151">
        <f t="shared" si="174"/>
        <v>1</v>
      </c>
      <c r="Q647" s="101">
        <f t="shared" si="166"/>
        <v>450000000</v>
      </c>
      <c r="R647" s="101">
        <f t="shared" si="167"/>
        <v>450000000</v>
      </c>
      <c r="S647" s="144" t="s">
        <v>56</v>
      </c>
      <c r="T647" s="151">
        <f t="shared" si="175"/>
        <v>0</v>
      </c>
      <c r="U647" s="27" t="str">
        <f t="shared" si="171"/>
        <v>SUBDIRECCION DE GESTION CONTRACTUAL</v>
      </c>
      <c r="V647" s="91" t="str">
        <f t="shared" si="168"/>
        <v>CO-DC</v>
      </c>
      <c r="W647" s="27" t="str">
        <f t="shared" si="169"/>
        <v>Distrito Capital de Bogotá</v>
      </c>
      <c r="X647" s="103" t="s">
        <v>162</v>
      </c>
      <c r="Y647" s="104">
        <v>2427401</v>
      </c>
      <c r="Z647" s="133" t="s">
        <v>163</v>
      </c>
    </row>
    <row r="648" spans="1:26" s="61" customFormat="1" ht="13.9" hidden="1" customHeight="1" x14ac:dyDescent="0.2">
      <c r="A648" s="171" t="s">
        <v>734</v>
      </c>
      <c r="B648" s="104">
        <v>36</v>
      </c>
      <c r="C648" s="134" t="s">
        <v>780</v>
      </c>
      <c r="D648" s="131" t="s">
        <v>776</v>
      </c>
      <c r="E648" s="132"/>
      <c r="F648" s="132">
        <f>438000000-438000000</f>
        <v>0</v>
      </c>
      <c r="G648" s="132"/>
      <c r="H648" s="131" t="s">
        <v>766</v>
      </c>
      <c r="I648" s="134" t="s">
        <v>767</v>
      </c>
      <c r="J648" s="104">
        <v>4</v>
      </c>
      <c r="K648" s="104">
        <v>4</v>
      </c>
      <c r="L648" s="104">
        <v>8</v>
      </c>
      <c r="M648" s="91">
        <f t="shared" si="170"/>
        <v>1</v>
      </c>
      <c r="N648" s="98" t="s">
        <v>64</v>
      </c>
      <c r="O648" s="99" t="s">
        <v>65</v>
      </c>
      <c r="P648" s="151">
        <f t="shared" si="174"/>
        <v>1</v>
      </c>
      <c r="Q648" s="101">
        <f t="shared" si="166"/>
        <v>0</v>
      </c>
      <c r="R648" s="101">
        <f t="shared" si="167"/>
        <v>0</v>
      </c>
      <c r="S648" s="144" t="s">
        <v>56</v>
      </c>
      <c r="T648" s="151">
        <f t="shared" si="175"/>
        <v>0</v>
      </c>
      <c r="U648" s="27" t="str">
        <f t="shared" si="171"/>
        <v>SUBDIRECCION DE GESTION CONTRACTUAL</v>
      </c>
      <c r="V648" s="151" t="str">
        <f t="shared" si="168"/>
        <v>CO-DC</v>
      </c>
      <c r="W648" s="151" t="str">
        <f t="shared" si="169"/>
        <v>Distrito Capital de Bogotá</v>
      </c>
      <c r="X648" s="131" t="s">
        <v>738</v>
      </c>
      <c r="Y648" s="104">
        <v>2427401</v>
      </c>
      <c r="Z648" s="88" t="s">
        <v>739</v>
      </c>
    </row>
    <row r="649" spans="1:26" s="61" customFormat="1" ht="12.75" hidden="1" customHeight="1" x14ac:dyDescent="0.2">
      <c r="A649" s="171" t="s">
        <v>734</v>
      </c>
      <c r="B649" s="104">
        <v>37</v>
      </c>
      <c r="C649" s="134" t="s">
        <v>781</v>
      </c>
      <c r="D649" s="131" t="s">
        <v>776</v>
      </c>
      <c r="E649" s="132"/>
      <c r="F649" s="132">
        <f>576000000-576000000</f>
        <v>0</v>
      </c>
      <c r="G649" s="132"/>
      <c r="H649" s="131" t="s">
        <v>766</v>
      </c>
      <c r="I649" s="134" t="s">
        <v>767</v>
      </c>
      <c r="J649" s="104">
        <v>4</v>
      </c>
      <c r="K649" s="104">
        <v>4</v>
      </c>
      <c r="L649" s="104">
        <v>8</v>
      </c>
      <c r="M649" s="91">
        <f t="shared" si="170"/>
        <v>1</v>
      </c>
      <c r="N649" s="98" t="s">
        <v>64</v>
      </c>
      <c r="O649" s="99" t="s">
        <v>65</v>
      </c>
      <c r="P649" s="151">
        <f t="shared" si="174"/>
        <v>1</v>
      </c>
      <c r="Q649" s="101">
        <f t="shared" si="166"/>
        <v>0</v>
      </c>
      <c r="R649" s="101">
        <f t="shared" si="167"/>
        <v>0</v>
      </c>
      <c r="S649" s="144" t="s">
        <v>56</v>
      </c>
      <c r="T649" s="151">
        <f t="shared" si="175"/>
        <v>0</v>
      </c>
      <c r="U649" s="27" t="str">
        <f t="shared" si="171"/>
        <v>SUBDIRECCION DE GESTION CONTRACTUAL</v>
      </c>
      <c r="V649" s="151" t="str">
        <f t="shared" si="168"/>
        <v>CO-DC</v>
      </c>
      <c r="W649" s="151" t="str">
        <f t="shared" si="169"/>
        <v>Distrito Capital de Bogotá</v>
      </c>
      <c r="X649" s="131" t="s">
        <v>738</v>
      </c>
      <c r="Y649" s="104">
        <v>2427401</v>
      </c>
      <c r="Z649" s="88" t="s">
        <v>739</v>
      </c>
    </row>
    <row r="650" spans="1:26" s="61" customFormat="1" ht="13.9" hidden="1" customHeight="1" x14ac:dyDescent="0.2">
      <c r="A650" s="171" t="s">
        <v>734</v>
      </c>
      <c r="B650" s="104">
        <v>38</v>
      </c>
      <c r="C650" s="134" t="s">
        <v>781</v>
      </c>
      <c r="D650" s="131" t="s">
        <v>776</v>
      </c>
      <c r="E650" s="132"/>
      <c r="F650" s="132">
        <f>4000000000-4000000000</f>
        <v>0</v>
      </c>
      <c r="G650" s="132"/>
      <c r="H650" s="131" t="s">
        <v>782</v>
      </c>
      <c r="I650" s="134" t="s">
        <v>783</v>
      </c>
      <c r="J650" s="104">
        <v>4</v>
      </c>
      <c r="K650" s="104">
        <v>4</v>
      </c>
      <c r="L650" s="104">
        <v>8</v>
      </c>
      <c r="M650" s="91">
        <f t="shared" si="170"/>
        <v>1</v>
      </c>
      <c r="N650" s="98" t="s">
        <v>64</v>
      </c>
      <c r="O650" s="99" t="s">
        <v>65</v>
      </c>
      <c r="P650" s="151">
        <f t="shared" si="174"/>
        <v>1</v>
      </c>
      <c r="Q650" s="101">
        <f t="shared" si="166"/>
        <v>0</v>
      </c>
      <c r="R650" s="101">
        <f t="shared" si="167"/>
        <v>0</v>
      </c>
      <c r="S650" s="144" t="s">
        <v>56</v>
      </c>
      <c r="T650" s="151">
        <f t="shared" si="175"/>
        <v>0</v>
      </c>
      <c r="U650" s="27" t="str">
        <f t="shared" si="171"/>
        <v>SUBDIRECCION DE GESTION CONTRACTUAL</v>
      </c>
      <c r="V650" s="151" t="str">
        <f t="shared" si="168"/>
        <v>CO-DC</v>
      </c>
      <c r="W650" s="151" t="str">
        <f t="shared" si="169"/>
        <v>Distrito Capital de Bogotá</v>
      </c>
      <c r="X650" s="131" t="s">
        <v>738</v>
      </c>
      <c r="Y650" s="104">
        <v>2427401</v>
      </c>
      <c r="Z650" s="88" t="s">
        <v>739</v>
      </c>
    </row>
    <row r="651" spans="1:26" s="61" customFormat="1" ht="13.9" hidden="1" customHeight="1" x14ac:dyDescent="0.2">
      <c r="A651" s="171" t="s">
        <v>734</v>
      </c>
      <c r="B651" s="104">
        <v>39</v>
      </c>
      <c r="C651" s="134" t="s">
        <v>781</v>
      </c>
      <c r="D651" s="131" t="s">
        <v>776</v>
      </c>
      <c r="E651" s="132"/>
      <c r="F651" s="132">
        <f>4000000000-4000000000</f>
        <v>0</v>
      </c>
      <c r="G651" s="132"/>
      <c r="H651" s="131" t="s">
        <v>782</v>
      </c>
      <c r="I651" s="134" t="s">
        <v>783</v>
      </c>
      <c r="J651" s="104">
        <v>4</v>
      </c>
      <c r="K651" s="104">
        <v>4</v>
      </c>
      <c r="L651" s="104">
        <v>8</v>
      </c>
      <c r="M651" s="91">
        <f t="shared" si="170"/>
        <v>1</v>
      </c>
      <c r="N651" s="98" t="s">
        <v>64</v>
      </c>
      <c r="O651" s="99" t="s">
        <v>65</v>
      </c>
      <c r="P651" s="151">
        <f t="shared" si="174"/>
        <v>1</v>
      </c>
      <c r="Q651" s="101">
        <f t="shared" si="166"/>
        <v>0</v>
      </c>
      <c r="R651" s="101">
        <f t="shared" si="167"/>
        <v>0</v>
      </c>
      <c r="S651" s="144" t="s">
        <v>56</v>
      </c>
      <c r="T651" s="151">
        <f t="shared" si="175"/>
        <v>0</v>
      </c>
      <c r="U651" s="27" t="str">
        <f t="shared" si="171"/>
        <v>SUBDIRECCION DE GESTION CONTRACTUAL</v>
      </c>
      <c r="V651" s="151" t="str">
        <f t="shared" si="168"/>
        <v>CO-DC</v>
      </c>
      <c r="W651" s="151" t="str">
        <f t="shared" si="169"/>
        <v>Distrito Capital de Bogotá</v>
      </c>
      <c r="X651" s="131" t="s">
        <v>738</v>
      </c>
      <c r="Y651" s="104">
        <v>2427401</v>
      </c>
      <c r="Z651" s="88" t="s">
        <v>739</v>
      </c>
    </row>
    <row r="652" spans="1:26" s="61" customFormat="1" ht="13.9" hidden="1" customHeight="1" x14ac:dyDescent="0.25">
      <c r="A652" s="90" t="s">
        <v>734</v>
      </c>
      <c r="B652" s="91">
        <v>40</v>
      </c>
      <c r="C652" s="92" t="s">
        <v>759</v>
      </c>
      <c r="D652" s="92" t="s">
        <v>478</v>
      </c>
      <c r="E652" s="93"/>
      <c r="F652" s="93">
        <f>200000000+100000000-200000000</f>
        <v>100000000</v>
      </c>
      <c r="G652" s="93"/>
      <c r="H652" s="94" t="s">
        <v>467</v>
      </c>
      <c r="I652" s="76" t="s">
        <v>784</v>
      </c>
      <c r="J652" s="124">
        <v>7</v>
      </c>
      <c r="K652" s="124">
        <v>9</v>
      </c>
      <c r="L652" s="124">
        <v>3</v>
      </c>
      <c r="M652" s="91">
        <f t="shared" si="170"/>
        <v>1</v>
      </c>
      <c r="N652" s="98" t="s">
        <v>785</v>
      </c>
      <c r="O652" s="99" t="s">
        <v>786</v>
      </c>
      <c r="P652" s="100">
        <f t="shared" si="174"/>
        <v>1</v>
      </c>
      <c r="Q652" s="101">
        <f>+E652+F652+G652</f>
        <v>100000000</v>
      </c>
      <c r="R652" s="101">
        <f t="shared" si="167"/>
        <v>100000000</v>
      </c>
      <c r="S652" s="102" t="s">
        <v>56</v>
      </c>
      <c r="T652" s="98">
        <f t="shared" si="175"/>
        <v>0</v>
      </c>
      <c r="U652" s="27" t="str">
        <f t="shared" si="171"/>
        <v>SUBDIRECCION DE GESTION CONTRACTUAL</v>
      </c>
      <c r="V652" s="91" t="str">
        <f t="shared" si="168"/>
        <v>CO-DC</v>
      </c>
      <c r="W652" s="27" t="str">
        <f t="shared" si="169"/>
        <v>Distrito Capital de Bogotá</v>
      </c>
      <c r="X652" s="103" t="s">
        <v>469</v>
      </c>
      <c r="Y652" s="91">
        <v>2427400</v>
      </c>
      <c r="Z652" s="85" t="s">
        <v>330</v>
      </c>
    </row>
    <row r="653" spans="1:26" s="61" customFormat="1" ht="13.9" hidden="1" customHeight="1" x14ac:dyDescent="0.2">
      <c r="A653" s="171" t="s">
        <v>734</v>
      </c>
      <c r="B653" s="104">
        <v>41</v>
      </c>
      <c r="C653" s="134" t="s">
        <v>745</v>
      </c>
      <c r="D653" s="131" t="s">
        <v>746</v>
      </c>
      <c r="E653" s="132"/>
      <c r="F653" s="132">
        <f>400000000-50000000</f>
        <v>350000000</v>
      </c>
      <c r="G653" s="132"/>
      <c r="H653" s="94" t="s">
        <v>203</v>
      </c>
      <c r="I653" s="76" t="s">
        <v>787</v>
      </c>
      <c r="J653" s="124">
        <v>2</v>
      </c>
      <c r="K653" s="124">
        <v>2</v>
      </c>
      <c r="L653" s="124">
        <v>10</v>
      </c>
      <c r="M653" s="91">
        <f t="shared" si="170"/>
        <v>1</v>
      </c>
      <c r="N653" s="98" t="s">
        <v>64</v>
      </c>
      <c r="O653" s="99" t="s">
        <v>65</v>
      </c>
      <c r="P653" s="151">
        <f t="shared" si="174"/>
        <v>1</v>
      </c>
      <c r="Q653" s="101">
        <f t="shared" si="166"/>
        <v>350000000</v>
      </c>
      <c r="R653" s="101">
        <f t="shared" si="167"/>
        <v>350000000</v>
      </c>
      <c r="S653" s="144" t="s">
        <v>56</v>
      </c>
      <c r="T653" s="151">
        <f t="shared" si="175"/>
        <v>0</v>
      </c>
      <c r="U653" s="27" t="str">
        <f t="shared" si="171"/>
        <v>SUBDIRECCION DE GESTION CONTRACTUAL</v>
      </c>
      <c r="V653" s="91" t="str">
        <f t="shared" si="168"/>
        <v>CO-DC</v>
      </c>
      <c r="W653" s="151" t="str">
        <f t="shared" si="169"/>
        <v>Distrito Capital de Bogotá</v>
      </c>
      <c r="X653" s="103" t="s">
        <v>121</v>
      </c>
      <c r="Y653" s="91">
        <v>2427400</v>
      </c>
      <c r="Z653" s="105" t="s">
        <v>122</v>
      </c>
    </row>
    <row r="654" spans="1:26" s="61" customFormat="1" ht="13.9" hidden="1" customHeight="1" x14ac:dyDescent="0.2">
      <c r="A654" s="171" t="s">
        <v>734</v>
      </c>
      <c r="B654" s="104">
        <v>42</v>
      </c>
      <c r="C654" s="134" t="s">
        <v>759</v>
      </c>
      <c r="D654" s="131" t="s">
        <v>478</v>
      </c>
      <c r="E654" s="132"/>
      <c r="F654" s="132">
        <f>2500000000+2250000000</f>
        <v>4750000000</v>
      </c>
      <c r="G654" s="132"/>
      <c r="H654" s="131" t="s">
        <v>788</v>
      </c>
      <c r="I654" s="134" t="s">
        <v>789</v>
      </c>
      <c r="J654" s="124">
        <v>3</v>
      </c>
      <c r="K654" s="124">
        <v>3</v>
      </c>
      <c r="L654" s="124">
        <v>9</v>
      </c>
      <c r="M654" s="91">
        <v>1</v>
      </c>
      <c r="N654" s="98" t="s">
        <v>64</v>
      </c>
      <c r="O654" s="99" t="s">
        <v>65</v>
      </c>
      <c r="P654" s="151">
        <v>1</v>
      </c>
      <c r="Q654" s="101">
        <f t="shared" si="166"/>
        <v>4750000000</v>
      </c>
      <c r="R654" s="101">
        <f t="shared" si="167"/>
        <v>4750000000</v>
      </c>
      <c r="S654" s="144" t="s">
        <v>56</v>
      </c>
      <c r="T654" s="151">
        <v>0</v>
      </c>
      <c r="U654" s="27" t="s">
        <v>280</v>
      </c>
      <c r="V654" s="151" t="s">
        <v>207</v>
      </c>
      <c r="W654" s="151" t="s">
        <v>208</v>
      </c>
      <c r="X654" s="131" t="s">
        <v>738</v>
      </c>
      <c r="Y654" s="104">
        <v>2427401</v>
      </c>
      <c r="Z654" s="88" t="s">
        <v>739</v>
      </c>
    </row>
    <row r="655" spans="1:26" s="61" customFormat="1" ht="13.9" hidden="1" customHeight="1" x14ac:dyDescent="0.2">
      <c r="A655" s="171" t="s">
        <v>734</v>
      </c>
      <c r="B655" s="104">
        <v>43</v>
      </c>
      <c r="C655" s="134" t="s">
        <v>771</v>
      </c>
      <c r="D655" s="131" t="s">
        <v>478</v>
      </c>
      <c r="E655" s="132"/>
      <c r="F655" s="132">
        <v>620000000</v>
      </c>
      <c r="G655" s="132"/>
      <c r="H655" s="131" t="s">
        <v>788</v>
      </c>
      <c r="I655" s="134" t="s">
        <v>789</v>
      </c>
      <c r="J655" s="104">
        <v>3</v>
      </c>
      <c r="K655" s="104">
        <v>3</v>
      </c>
      <c r="L655" s="104">
        <v>9</v>
      </c>
      <c r="M655" s="91">
        <v>1</v>
      </c>
      <c r="N655" s="98" t="s">
        <v>64</v>
      </c>
      <c r="O655" s="99" t="s">
        <v>65</v>
      </c>
      <c r="P655" s="151">
        <v>1</v>
      </c>
      <c r="Q655" s="101">
        <f t="shared" si="166"/>
        <v>620000000</v>
      </c>
      <c r="R655" s="101">
        <f t="shared" si="167"/>
        <v>620000000</v>
      </c>
      <c r="S655" s="144" t="s">
        <v>56</v>
      </c>
      <c r="T655" s="151">
        <v>0</v>
      </c>
      <c r="U655" s="27" t="s">
        <v>280</v>
      </c>
      <c r="V655" s="151" t="s">
        <v>207</v>
      </c>
      <c r="W655" s="151" t="s">
        <v>208</v>
      </c>
      <c r="X655" s="131" t="s">
        <v>738</v>
      </c>
      <c r="Y655" s="104">
        <v>2427401</v>
      </c>
      <c r="Z655" s="88" t="s">
        <v>739</v>
      </c>
    </row>
    <row r="656" spans="1:26" s="61" customFormat="1" ht="13.9" hidden="1" customHeight="1" x14ac:dyDescent="0.2">
      <c r="A656" s="171" t="s">
        <v>734</v>
      </c>
      <c r="B656" s="104">
        <v>44</v>
      </c>
      <c r="C656" s="134" t="s">
        <v>775</v>
      </c>
      <c r="D656" s="131" t="s">
        <v>776</v>
      </c>
      <c r="E656" s="132"/>
      <c r="F656" s="132">
        <v>864000000</v>
      </c>
      <c r="G656" s="132"/>
      <c r="H656" s="131" t="s">
        <v>788</v>
      </c>
      <c r="I656" s="134" t="s">
        <v>789</v>
      </c>
      <c r="J656" s="104">
        <v>3</v>
      </c>
      <c r="K656" s="104">
        <v>3</v>
      </c>
      <c r="L656" s="104">
        <v>9</v>
      </c>
      <c r="M656" s="91">
        <v>1</v>
      </c>
      <c r="N656" s="98" t="s">
        <v>64</v>
      </c>
      <c r="O656" s="99" t="s">
        <v>65</v>
      </c>
      <c r="P656" s="151">
        <v>1</v>
      </c>
      <c r="Q656" s="101">
        <f t="shared" si="166"/>
        <v>864000000</v>
      </c>
      <c r="R656" s="101">
        <f t="shared" si="167"/>
        <v>864000000</v>
      </c>
      <c r="S656" s="144" t="s">
        <v>56</v>
      </c>
      <c r="T656" s="151">
        <v>0</v>
      </c>
      <c r="U656" s="27" t="s">
        <v>280</v>
      </c>
      <c r="V656" s="151" t="s">
        <v>207</v>
      </c>
      <c r="W656" s="151" t="s">
        <v>208</v>
      </c>
      <c r="X656" s="131" t="s">
        <v>738</v>
      </c>
      <c r="Y656" s="104">
        <v>2427401</v>
      </c>
      <c r="Z656" s="88" t="s">
        <v>739</v>
      </c>
    </row>
    <row r="657" spans="1:26" s="61" customFormat="1" ht="13.9" hidden="1" customHeight="1" x14ac:dyDescent="0.2">
      <c r="A657" s="171" t="s">
        <v>734</v>
      </c>
      <c r="B657" s="104">
        <v>45</v>
      </c>
      <c r="C657" s="134" t="s">
        <v>779</v>
      </c>
      <c r="D657" s="131" t="s">
        <v>776</v>
      </c>
      <c r="E657" s="132"/>
      <c r="F657" s="132">
        <v>1500000000</v>
      </c>
      <c r="G657" s="132"/>
      <c r="H657" s="131" t="s">
        <v>788</v>
      </c>
      <c r="I657" s="134" t="s">
        <v>789</v>
      </c>
      <c r="J657" s="104">
        <v>3</v>
      </c>
      <c r="K657" s="104">
        <v>3</v>
      </c>
      <c r="L657" s="104">
        <v>9</v>
      </c>
      <c r="M657" s="91">
        <v>1</v>
      </c>
      <c r="N657" s="98" t="s">
        <v>64</v>
      </c>
      <c r="O657" s="99" t="s">
        <v>65</v>
      </c>
      <c r="P657" s="151">
        <v>1</v>
      </c>
      <c r="Q657" s="101">
        <f t="shared" si="166"/>
        <v>1500000000</v>
      </c>
      <c r="R657" s="101">
        <f t="shared" si="167"/>
        <v>1500000000</v>
      </c>
      <c r="S657" s="144" t="s">
        <v>56</v>
      </c>
      <c r="T657" s="151">
        <v>0</v>
      </c>
      <c r="U657" s="27" t="s">
        <v>280</v>
      </c>
      <c r="V657" s="151" t="s">
        <v>207</v>
      </c>
      <c r="W657" s="151" t="s">
        <v>208</v>
      </c>
      <c r="X657" s="131" t="s">
        <v>738</v>
      </c>
      <c r="Y657" s="104">
        <v>2427401</v>
      </c>
      <c r="Z657" s="88" t="s">
        <v>739</v>
      </c>
    </row>
    <row r="658" spans="1:26" s="61" customFormat="1" ht="13.9" hidden="1" customHeight="1" x14ac:dyDescent="0.2">
      <c r="A658" s="171" t="s">
        <v>734</v>
      </c>
      <c r="B658" s="104">
        <v>46</v>
      </c>
      <c r="C658" s="134" t="s">
        <v>780</v>
      </c>
      <c r="D658" s="131" t="s">
        <v>776</v>
      </c>
      <c r="E658" s="132"/>
      <c r="F658" s="132">
        <v>438000000</v>
      </c>
      <c r="G658" s="132"/>
      <c r="H658" s="131" t="s">
        <v>788</v>
      </c>
      <c r="I658" s="134" t="s">
        <v>789</v>
      </c>
      <c r="J658" s="104">
        <v>3</v>
      </c>
      <c r="K658" s="104">
        <v>3</v>
      </c>
      <c r="L658" s="104">
        <v>9</v>
      </c>
      <c r="M658" s="91">
        <v>1</v>
      </c>
      <c r="N658" s="98" t="s">
        <v>64</v>
      </c>
      <c r="O658" s="99" t="s">
        <v>65</v>
      </c>
      <c r="P658" s="151">
        <v>1</v>
      </c>
      <c r="Q658" s="101">
        <f t="shared" si="166"/>
        <v>438000000</v>
      </c>
      <c r="R658" s="101">
        <f t="shared" si="167"/>
        <v>438000000</v>
      </c>
      <c r="S658" s="144" t="s">
        <v>56</v>
      </c>
      <c r="T658" s="151">
        <v>0</v>
      </c>
      <c r="U658" s="27" t="s">
        <v>280</v>
      </c>
      <c r="V658" s="151" t="s">
        <v>207</v>
      </c>
      <c r="W658" s="151" t="s">
        <v>208</v>
      </c>
      <c r="X658" s="131" t="s">
        <v>738</v>
      </c>
      <c r="Y658" s="104">
        <v>2427401</v>
      </c>
      <c r="Z658" s="88" t="s">
        <v>739</v>
      </c>
    </row>
    <row r="659" spans="1:26" s="61" customFormat="1" ht="13.9" hidden="1" customHeight="1" x14ac:dyDescent="0.2">
      <c r="A659" s="171" t="s">
        <v>734</v>
      </c>
      <c r="B659" s="104">
        <v>47</v>
      </c>
      <c r="C659" s="134" t="s">
        <v>781</v>
      </c>
      <c r="D659" s="131" t="s">
        <v>776</v>
      </c>
      <c r="E659" s="132"/>
      <c r="F659" s="132">
        <f>576000000+4000000000+4000000000</f>
        <v>8576000000</v>
      </c>
      <c r="G659" s="132"/>
      <c r="H659" s="131" t="s">
        <v>788</v>
      </c>
      <c r="I659" s="134" t="s">
        <v>789</v>
      </c>
      <c r="J659" s="104">
        <v>3</v>
      </c>
      <c r="K659" s="104">
        <v>3</v>
      </c>
      <c r="L659" s="104">
        <v>9</v>
      </c>
      <c r="M659" s="91">
        <v>1</v>
      </c>
      <c r="N659" s="98" t="s">
        <v>64</v>
      </c>
      <c r="O659" s="99" t="s">
        <v>65</v>
      </c>
      <c r="P659" s="151">
        <v>1</v>
      </c>
      <c r="Q659" s="101">
        <f t="shared" si="166"/>
        <v>8576000000</v>
      </c>
      <c r="R659" s="101">
        <f t="shared" si="167"/>
        <v>8576000000</v>
      </c>
      <c r="S659" s="144" t="s">
        <v>56</v>
      </c>
      <c r="T659" s="151">
        <v>0</v>
      </c>
      <c r="U659" s="27" t="s">
        <v>280</v>
      </c>
      <c r="V659" s="151" t="s">
        <v>207</v>
      </c>
      <c r="W659" s="151" t="s">
        <v>208</v>
      </c>
      <c r="X659" s="131" t="s">
        <v>738</v>
      </c>
      <c r="Y659" s="104">
        <v>2427401</v>
      </c>
      <c r="Z659" s="88" t="s">
        <v>739</v>
      </c>
    </row>
    <row r="660" spans="1:26" s="61" customFormat="1" ht="13.9" hidden="1" customHeight="1" x14ac:dyDescent="0.2">
      <c r="A660" s="180" t="s">
        <v>734</v>
      </c>
      <c r="B660" s="152">
        <v>48</v>
      </c>
      <c r="C660" s="168" t="s">
        <v>735</v>
      </c>
      <c r="D660" s="168" t="s">
        <v>790</v>
      </c>
      <c r="E660" s="181"/>
      <c r="F660" s="181">
        <f>145200000+350000000+675000000</f>
        <v>1170200000</v>
      </c>
      <c r="G660" s="181"/>
      <c r="H660" s="182" t="s">
        <v>743</v>
      </c>
      <c r="I660" s="183" t="s">
        <v>791</v>
      </c>
      <c r="J660" s="152">
        <v>5</v>
      </c>
      <c r="K660" s="152">
        <v>5</v>
      </c>
      <c r="L660" s="152">
        <v>7</v>
      </c>
      <c r="M660" s="152">
        <v>1</v>
      </c>
      <c r="N660" s="152" t="s">
        <v>64</v>
      </c>
      <c r="O660" s="99" t="s">
        <v>65</v>
      </c>
      <c r="P660" s="152">
        <v>1</v>
      </c>
      <c r="Q660" s="101">
        <f t="shared" si="166"/>
        <v>1170200000</v>
      </c>
      <c r="R660" s="101">
        <f t="shared" si="167"/>
        <v>1170200000</v>
      </c>
      <c r="S660" s="152">
        <v>0</v>
      </c>
      <c r="T660" s="152">
        <v>0</v>
      </c>
      <c r="U660" s="184" t="s">
        <v>280</v>
      </c>
      <c r="V660" s="151" t="s">
        <v>207</v>
      </c>
      <c r="W660" s="151" t="s">
        <v>208</v>
      </c>
      <c r="X660" s="131" t="s">
        <v>738</v>
      </c>
      <c r="Y660" s="104">
        <v>2427401</v>
      </c>
      <c r="Z660" s="88" t="s">
        <v>739</v>
      </c>
    </row>
    <row r="661" spans="1:26" s="61" customFormat="1" ht="13.9" hidden="1" customHeight="1" x14ac:dyDescent="0.2">
      <c r="A661" s="180" t="s">
        <v>734</v>
      </c>
      <c r="B661" s="152">
        <v>49</v>
      </c>
      <c r="C661" s="168" t="s">
        <v>735</v>
      </c>
      <c r="D661" s="168" t="s">
        <v>790</v>
      </c>
      <c r="E661" s="181"/>
      <c r="F661" s="181">
        <f>4650000000-1400000000</f>
        <v>3250000000</v>
      </c>
      <c r="G661" s="181"/>
      <c r="H661" s="182" t="s">
        <v>792</v>
      </c>
      <c r="I661" s="183" t="s">
        <v>750</v>
      </c>
      <c r="J661" s="152">
        <v>11</v>
      </c>
      <c r="K661" s="152">
        <v>11</v>
      </c>
      <c r="L661" s="152">
        <v>1</v>
      </c>
      <c r="M661" s="152">
        <v>1</v>
      </c>
      <c r="N661" s="152" t="s">
        <v>64</v>
      </c>
      <c r="O661" s="99" t="s">
        <v>65</v>
      </c>
      <c r="P661" s="152">
        <v>1</v>
      </c>
      <c r="Q661" s="101">
        <f t="shared" si="166"/>
        <v>3250000000</v>
      </c>
      <c r="R661" s="101">
        <f t="shared" si="167"/>
        <v>3250000000</v>
      </c>
      <c r="S661" s="152">
        <v>0</v>
      </c>
      <c r="T661" s="152">
        <v>0</v>
      </c>
      <c r="U661" s="184" t="s">
        <v>280</v>
      </c>
      <c r="V661" s="151" t="s">
        <v>207</v>
      </c>
      <c r="W661" s="151" t="s">
        <v>208</v>
      </c>
      <c r="X661" s="131" t="s">
        <v>738</v>
      </c>
      <c r="Y661" s="104">
        <v>2427401</v>
      </c>
      <c r="Z661" s="88" t="s">
        <v>739</v>
      </c>
    </row>
    <row r="662" spans="1:26" s="61" customFormat="1" ht="13.9" hidden="1" customHeight="1" x14ac:dyDescent="0.2">
      <c r="A662" s="180" t="s">
        <v>734</v>
      </c>
      <c r="B662" s="152">
        <v>50</v>
      </c>
      <c r="C662" s="168" t="s">
        <v>735</v>
      </c>
      <c r="D662" s="168" t="s">
        <v>790</v>
      </c>
      <c r="E662" s="181"/>
      <c r="F662" s="181">
        <v>2000000000</v>
      </c>
      <c r="G662" s="181"/>
      <c r="H662" s="182" t="s">
        <v>793</v>
      </c>
      <c r="I662" s="183" t="s">
        <v>748</v>
      </c>
      <c r="J662" s="152">
        <v>5</v>
      </c>
      <c r="K662" s="152">
        <v>5</v>
      </c>
      <c r="L662" s="152">
        <v>7</v>
      </c>
      <c r="M662" s="152">
        <v>1</v>
      </c>
      <c r="N662" s="152" t="s">
        <v>64</v>
      </c>
      <c r="O662" s="99" t="s">
        <v>65</v>
      </c>
      <c r="P662" s="152">
        <v>1</v>
      </c>
      <c r="Q662" s="101">
        <f t="shared" si="166"/>
        <v>2000000000</v>
      </c>
      <c r="R662" s="101">
        <f t="shared" si="167"/>
        <v>2000000000</v>
      </c>
      <c r="S662" s="152">
        <v>0</v>
      </c>
      <c r="T662" s="152">
        <v>0</v>
      </c>
      <c r="U662" s="184" t="s">
        <v>280</v>
      </c>
      <c r="V662" s="151" t="s">
        <v>207</v>
      </c>
      <c r="W662" s="151" t="s">
        <v>208</v>
      </c>
      <c r="X662" s="131" t="s">
        <v>738</v>
      </c>
      <c r="Y662" s="104">
        <v>2427401</v>
      </c>
      <c r="Z662" s="88" t="s">
        <v>739</v>
      </c>
    </row>
    <row r="663" spans="1:26" s="61" customFormat="1" ht="13.5" hidden="1" customHeight="1" x14ac:dyDescent="0.2">
      <c r="A663" s="171" t="s">
        <v>734</v>
      </c>
      <c r="B663" s="104">
        <v>51</v>
      </c>
      <c r="C663" s="134" t="s">
        <v>745</v>
      </c>
      <c r="D663" s="131" t="s">
        <v>746</v>
      </c>
      <c r="E663" s="132"/>
      <c r="F663" s="132">
        <v>50000000</v>
      </c>
      <c r="G663" s="132"/>
      <c r="H663" s="94" t="s">
        <v>71</v>
      </c>
      <c r="I663" s="134" t="s">
        <v>765</v>
      </c>
      <c r="J663" s="95">
        <v>7</v>
      </c>
      <c r="K663" s="152">
        <v>7</v>
      </c>
      <c r="L663" s="97">
        <v>6</v>
      </c>
      <c r="M663" s="91">
        <f t="shared" ref="M663:M697" si="176">IF(ISBLANK(J663),"",1)</f>
        <v>1</v>
      </c>
      <c r="N663" s="98" t="s">
        <v>64</v>
      </c>
      <c r="O663" s="99" t="s">
        <v>65</v>
      </c>
      <c r="P663" s="151">
        <v>1</v>
      </c>
      <c r="Q663" s="101">
        <f t="shared" si="166"/>
        <v>50000000</v>
      </c>
      <c r="R663" s="101">
        <f t="shared" si="167"/>
        <v>50000000</v>
      </c>
      <c r="S663" s="144" t="s">
        <v>366</v>
      </c>
      <c r="T663" s="151">
        <v>3</v>
      </c>
      <c r="U663" s="27" t="str">
        <f t="shared" ref="U663:U697" si="177">IF(ISBLANK(N663),"","SUBDIRECCION DE GESTION CONTRACTUAL")</f>
        <v>SUBDIRECCION DE GESTION CONTRACTUAL</v>
      </c>
      <c r="V663" s="151" t="s">
        <v>207</v>
      </c>
      <c r="W663" s="151" t="s">
        <v>208</v>
      </c>
      <c r="X663" s="131" t="s">
        <v>738</v>
      </c>
      <c r="Y663" s="104">
        <v>2427401</v>
      </c>
      <c r="Z663" s="88" t="s">
        <v>739</v>
      </c>
    </row>
    <row r="664" spans="1:26" s="61" customFormat="1" ht="13.5" hidden="1" customHeight="1" x14ac:dyDescent="0.2">
      <c r="A664" s="171" t="s">
        <v>734</v>
      </c>
      <c r="B664" s="104">
        <v>52</v>
      </c>
      <c r="C664" s="134" t="s">
        <v>753</v>
      </c>
      <c r="D664" s="131" t="s">
        <v>754</v>
      </c>
      <c r="E664" s="132"/>
      <c r="F664" s="132">
        <f>18000000+50000000</f>
        <v>68000000</v>
      </c>
      <c r="G664" s="132"/>
      <c r="H664" s="131">
        <v>80111600</v>
      </c>
      <c r="I664" s="134" t="s">
        <v>752</v>
      </c>
      <c r="J664" s="104">
        <v>8</v>
      </c>
      <c r="K664" s="104">
        <v>8</v>
      </c>
      <c r="L664" s="104">
        <v>4</v>
      </c>
      <c r="M664" s="91">
        <f t="shared" si="176"/>
        <v>1</v>
      </c>
      <c r="N664" s="98" t="s">
        <v>54</v>
      </c>
      <c r="O664" s="99" t="s">
        <v>55</v>
      </c>
      <c r="P664" s="151">
        <f>IF(ISBLANK(N664),"",1)</f>
        <v>1</v>
      </c>
      <c r="Q664" s="101">
        <f t="shared" si="166"/>
        <v>68000000</v>
      </c>
      <c r="R664" s="101">
        <f t="shared" si="167"/>
        <v>68000000</v>
      </c>
      <c r="S664" s="144" t="s">
        <v>56</v>
      </c>
      <c r="T664" s="151">
        <f t="shared" ref="T664:T698" si="178">IF(ISBLANK(S664),"",IF(VALUE(S664)=0,0,IF(VALUE(S664)=1,3,"")))</f>
        <v>0</v>
      </c>
      <c r="U664" s="27" t="str">
        <f t="shared" si="177"/>
        <v>SUBDIRECCION DE GESTION CONTRACTUAL</v>
      </c>
      <c r="V664" s="151" t="str">
        <f>IF(ISBLANK(N664),"","CO-DC")</f>
        <v>CO-DC</v>
      </c>
      <c r="W664" s="151" t="str">
        <f>IF(ISBLANK(N664),"","Distrito Capital de Bogotá")</f>
        <v>Distrito Capital de Bogotá</v>
      </c>
      <c r="X664" s="131" t="s">
        <v>738</v>
      </c>
      <c r="Y664" s="104">
        <v>2427401</v>
      </c>
      <c r="Z664" s="88" t="s">
        <v>739</v>
      </c>
    </row>
    <row r="665" spans="1:26" s="61" customFormat="1" ht="13.9" hidden="1" customHeight="1" x14ac:dyDescent="0.2">
      <c r="A665" s="171" t="s">
        <v>734</v>
      </c>
      <c r="B665" s="104">
        <v>53</v>
      </c>
      <c r="C665" s="134" t="s">
        <v>756</v>
      </c>
      <c r="D665" s="131" t="s">
        <v>754</v>
      </c>
      <c r="E665" s="132"/>
      <c r="F665" s="132">
        <v>40000000</v>
      </c>
      <c r="G665" s="132"/>
      <c r="H665" s="131">
        <v>80111600</v>
      </c>
      <c r="I665" s="134" t="s">
        <v>752</v>
      </c>
      <c r="J665" s="104">
        <v>8</v>
      </c>
      <c r="K665" s="104">
        <v>8</v>
      </c>
      <c r="L665" s="104">
        <v>4</v>
      </c>
      <c r="M665" s="91">
        <f t="shared" ref="M665:M666" si="179">IF(ISBLANK(J665),"",1)</f>
        <v>1</v>
      </c>
      <c r="N665" s="98" t="s">
        <v>54</v>
      </c>
      <c r="O665" s="99" t="s">
        <v>55</v>
      </c>
      <c r="P665" s="151">
        <f>IF(ISBLANK(N665),"",1)</f>
        <v>1</v>
      </c>
      <c r="Q665" s="101">
        <f t="shared" ref="Q665:Q666" si="180">+E665+F665+G665</f>
        <v>40000000</v>
      </c>
      <c r="R665" s="101">
        <f t="shared" ref="R665:R666" si="181">+F665</f>
        <v>40000000</v>
      </c>
      <c r="S665" s="144" t="s">
        <v>56</v>
      </c>
      <c r="T665" s="151">
        <f t="shared" ref="T665:T666" si="182">IF(ISBLANK(S665),"",IF(VALUE(S665)=0,0,IF(VALUE(S665)=1,3,"")))</f>
        <v>0</v>
      </c>
      <c r="U665" s="27" t="str">
        <f t="shared" ref="U665:U666" si="183">IF(ISBLANK(N665),"","SUBDIRECCION DE GESTION CONTRACTUAL")</f>
        <v>SUBDIRECCION DE GESTION CONTRACTUAL</v>
      </c>
      <c r="V665" s="151" t="str">
        <f>IF(ISBLANK(N665),"","CO-DC")</f>
        <v>CO-DC</v>
      </c>
      <c r="W665" s="151" t="str">
        <f>IF(ISBLANK(N665),"","Distrito Capital de Bogotá")</f>
        <v>Distrito Capital de Bogotá</v>
      </c>
      <c r="X665" s="131" t="s">
        <v>738</v>
      </c>
      <c r="Y665" s="104">
        <v>2427401</v>
      </c>
      <c r="Z665" s="88" t="s">
        <v>739</v>
      </c>
    </row>
    <row r="666" spans="1:26" s="61" customFormat="1" ht="13.9" hidden="1" customHeight="1" x14ac:dyDescent="0.2">
      <c r="A666" s="171" t="s">
        <v>734</v>
      </c>
      <c r="B666" s="104">
        <v>54</v>
      </c>
      <c r="C666" s="134" t="s">
        <v>735</v>
      </c>
      <c r="D666" s="131" t="s">
        <v>790</v>
      </c>
      <c r="E666" s="132"/>
      <c r="F666" s="132">
        <v>675000000</v>
      </c>
      <c r="G666" s="132"/>
      <c r="H666" s="131">
        <v>93141600</v>
      </c>
      <c r="I666" s="134" t="s">
        <v>794</v>
      </c>
      <c r="J666" s="104">
        <v>12</v>
      </c>
      <c r="K666" s="104">
        <v>12</v>
      </c>
      <c r="L666" s="104">
        <v>1</v>
      </c>
      <c r="M666" s="91">
        <f t="shared" si="179"/>
        <v>1</v>
      </c>
      <c r="N666" s="98" t="s">
        <v>64</v>
      </c>
      <c r="O666" s="99" t="s">
        <v>645</v>
      </c>
      <c r="P666" s="151">
        <f>IF(ISBLANK(N666),"",1)</f>
        <v>1</v>
      </c>
      <c r="Q666" s="101">
        <f t="shared" si="180"/>
        <v>675000000</v>
      </c>
      <c r="R666" s="101">
        <f t="shared" si="181"/>
        <v>675000000</v>
      </c>
      <c r="S666" s="144" t="s">
        <v>56</v>
      </c>
      <c r="T666" s="151">
        <f t="shared" si="182"/>
        <v>0</v>
      </c>
      <c r="U666" s="27" t="str">
        <f t="shared" si="183"/>
        <v>SUBDIRECCION DE GESTION CONTRACTUAL</v>
      </c>
      <c r="V666" s="151" t="str">
        <f>IF(ISBLANK(N666),"","CO-DC")</f>
        <v>CO-DC</v>
      </c>
      <c r="W666" s="151" t="str">
        <f>IF(ISBLANK(N666),"","Distrito Capital de Bogotá")</f>
        <v>Distrito Capital de Bogotá</v>
      </c>
      <c r="X666" s="131" t="s">
        <v>738</v>
      </c>
      <c r="Y666" s="104">
        <v>2427401</v>
      </c>
      <c r="Z666" s="88" t="s">
        <v>739</v>
      </c>
    </row>
    <row r="667" spans="1:26" s="61" customFormat="1" ht="13.9" hidden="1" customHeight="1" x14ac:dyDescent="0.2">
      <c r="A667" s="171" t="s">
        <v>734</v>
      </c>
      <c r="B667" s="104">
        <v>55</v>
      </c>
      <c r="C667" s="134" t="s">
        <v>735</v>
      </c>
      <c r="D667" s="131" t="s">
        <v>790</v>
      </c>
      <c r="E667" s="132"/>
      <c r="F667" s="132">
        <v>50000000</v>
      </c>
      <c r="G667" s="132"/>
      <c r="H667" s="131">
        <v>80111600</v>
      </c>
      <c r="I667" s="134" t="s">
        <v>752</v>
      </c>
      <c r="J667" s="104">
        <v>12</v>
      </c>
      <c r="K667" s="104">
        <v>12</v>
      </c>
      <c r="L667" s="104">
        <v>1</v>
      </c>
      <c r="M667" s="91">
        <f t="shared" si="176"/>
        <v>1</v>
      </c>
      <c r="N667" s="98" t="s">
        <v>54</v>
      </c>
      <c r="O667" s="99" t="s">
        <v>795</v>
      </c>
      <c r="P667" s="151">
        <f>IF(ISBLANK(N667),"",1)</f>
        <v>1</v>
      </c>
      <c r="Q667" s="101">
        <f t="shared" si="166"/>
        <v>50000000</v>
      </c>
      <c r="R667" s="101">
        <f t="shared" si="167"/>
        <v>50000000</v>
      </c>
      <c r="S667" s="144" t="s">
        <v>56</v>
      </c>
      <c r="T667" s="151">
        <f t="shared" si="178"/>
        <v>0</v>
      </c>
      <c r="U667" s="27" t="str">
        <f t="shared" si="177"/>
        <v>SUBDIRECCION DE GESTION CONTRACTUAL</v>
      </c>
      <c r="V667" s="151" t="str">
        <f>IF(ISBLANK(N667),"","CO-DC")</f>
        <v>CO-DC</v>
      </c>
      <c r="W667" s="151" t="str">
        <f>IF(ISBLANK(N667),"","Distrito Capital de Bogotá")</f>
        <v>Distrito Capital de Bogotá</v>
      </c>
      <c r="X667" s="131" t="s">
        <v>738</v>
      </c>
      <c r="Y667" s="104">
        <v>2427401</v>
      </c>
      <c r="Z667" s="88" t="s">
        <v>739</v>
      </c>
    </row>
    <row r="668" spans="1:26" s="61" customFormat="1" ht="13.9" hidden="1" customHeight="1" x14ac:dyDescent="0.2">
      <c r="A668" s="171" t="s">
        <v>796</v>
      </c>
      <c r="B668" s="104">
        <v>1</v>
      </c>
      <c r="C668" s="134" t="s">
        <v>797</v>
      </c>
      <c r="D668" s="131" t="s">
        <v>798</v>
      </c>
      <c r="E668" s="132"/>
      <c r="F668" s="132">
        <f>70103318+40392945</f>
        <v>110496263</v>
      </c>
      <c r="G668" s="132"/>
      <c r="H668" s="131">
        <v>91111703</v>
      </c>
      <c r="I668" s="134" t="s">
        <v>799</v>
      </c>
      <c r="J668" s="104">
        <v>4</v>
      </c>
      <c r="K668" s="104">
        <v>4</v>
      </c>
      <c r="L668" s="104">
        <v>8</v>
      </c>
      <c r="M668" s="91">
        <f t="shared" si="176"/>
        <v>1</v>
      </c>
      <c r="N668" s="98" t="s">
        <v>100</v>
      </c>
      <c r="O668" s="99" t="s">
        <v>101</v>
      </c>
      <c r="P668" s="151">
        <v>1</v>
      </c>
      <c r="Q668" s="101">
        <f t="shared" si="166"/>
        <v>110496263</v>
      </c>
      <c r="R668" s="101">
        <f t="shared" si="167"/>
        <v>110496263</v>
      </c>
      <c r="S668" s="144" t="s">
        <v>56</v>
      </c>
      <c r="T668" s="151">
        <f t="shared" si="178"/>
        <v>0</v>
      </c>
      <c r="U668" s="27" t="str">
        <f t="shared" si="177"/>
        <v>SUBDIRECCION DE GESTION CONTRACTUAL</v>
      </c>
      <c r="V668" s="151" t="s">
        <v>207</v>
      </c>
      <c r="W668" s="151" t="s">
        <v>208</v>
      </c>
      <c r="X668" s="131" t="s">
        <v>800</v>
      </c>
      <c r="Y668" s="104">
        <v>2427400</v>
      </c>
      <c r="Z668" s="133" t="s">
        <v>801</v>
      </c>
    </row>
    <row r="669" spans="1:26" s="61" customFormat="1" ht="13.9" hidden="1" customHeight="1" x14ac:dyDescent="0.2">
      <c r="A669" s="171" t="s">
        <v>796</v>
      </c>
      <c r="B669" s="104">
        <v>2</v>
      </c>
      <c r="C669" s="134" t="s">
        <v>797</v>
      </c>
      <c r="D669" s="131" t="s">
        <v>798</v>
      </c>
      <c r="E669" s="132"/>
      <c r="F669" s="132">
        <f>40392945-40392945</f>
        <v>0</v>
      </c>
      <c r="G669" s="132"/>
      <c r="H669" s="131">
        <v>91111703</v>
      </c>
      <c r="I669" s="134" t="s">
        <v>802</v>
      </c>
      <c r="J669" s="104">
        <v>2</v>
      </c>
      <c r="K669" s="104">
        <v>2</v>
      </c>
      <c r="L669" s="104">
        <v>2</v>
      </c>
      <c r="M669" s="91">
        <f t="shared" si="176"/>
        <v>1</v>
      </c>
      <c r="N669" s="98" t="s">
        <v>87</v>
      </c>
      <c r="O669" s="99" t="s">
        <v>88</v>
      </c>
      <c r="P669" s="151">
        <v>1</v>
      </c>
      <c r="Q669" s="101">
        <f t="shared" si="166"/>
        <v>0</v>
      </c>
      <c r="R669" s="101">
        <f t="shared" si="167"/>
        <v>0</v>
      </c>
      <c r="S669" s="144" t="s">
        <v>56</v>
      </c>
      <c r="T669" s="151">
        <f t="shared" si="178"/>
        <v>0</v>
      </c>
      <c r="U669" s="27" t="str">
        <f t="shared" si="177"/>
        <v>SUBDIRECCION DE GESTION CONTRACTUAL</v>
      </c>
      <c r="V669" s="151" t="s">
        <v>207</v>
      </c>
      <c r="W669" s="151" t="s">
        <v>208</v>
      </c>
      <c r="X669" s="131" t="s">
        <v>800</v>
      </c>
      <c r="Y669" s="104">
        <v>2427400</v>
      </c>
      <c r="Z669" s="133" t="s">
        <v>801</v>
      </c>
    </row>
    <row r="670" spans="1:26" s="61" customFormat="1" ht="13.9" hidden="1" customHeight="1" x14ac:dyDescent="0.2">
      <c r="A670" s="171" t="s">
        <v>796</v>
      </c>
      <c r="B670" s="104">
        <v>3</v>
      </c>
      <c r="C670" s="134" t="s">
        <v>803</v>
      </c>
      <c r="D670" s="131" t="s">
        <v>804</v>
      </c>
      <c r="E670" s="132"/>
      <c r="F670" s="132">
        <f>27037500-14043200</f>
        <v>12994300</v>
      </c>
      <c r="G670" s="132"/>
      <c r="H670" s="131">
        <v>85122201</v>
      </c>
      <c r="I670" s="134" t="s">
        <v>805</v>
      </c>
      <c r="J670" s="104">
        <v>2</v>
      </c>
      <c r="K670" s="104">
        <v>2</v>
      </c>
      <c r="L670" s="104">
        <v>10</v>
      </c>
      <c r="M670" s="91">
        <f t="shared" si="176"/>
        <v>1</v>
      </c>
      <c r="N670" s="98" t="s">
        <v>100</v>
      </c>
      <c r="O670" s="99" t="s">
        <v>101</v>
      </c>
      <c r="P670" s="151">
        <v>1</v>
      </c>
      <c r="Q670" s="101">
        <f t="shared" si="166"/>
        <v>12994300</v>
      </c>
      <c r="R670" s="101">
        <f t="shared" si="167"/>
        <v>12994300</v>
      </c>
      <c r="S670" s="144" t="s">
        <v>56</v>
      </c>
      <c r="T670" s="151">
        <f t="shared" si="178"/>
        <v>0</v>
      </c>
      <c r="U670" s="27" t="str">
        <f t="shared" si="177"/>
        <v>SUBDIRECCION DE GESTION CONTRACTUAL</v>
      </c>
      <c r="V670" s="151" t="s">
        <v>207</v>
      </c>
      <c r="W670" s="151" t="s">
        <v>208</v>
      </c>
      <c r="X670" s="131" t="s">
        <v>806</v>
      </c>
      <c r="Y670" s="104">
        <v>2427400</v>
      </c>
      <c r="Z670" s="133" t="s">
        <v>807</v>
      </c>
    </row>
    <row r="671" spans="1:26" s="61" customFormat="1" ht="13.9" hidden="1" customHeight="1" x14ac:dyDescent="0.2">
      <c r="A671" s="171" t="s">
        <v>796</v>
      </c>
      <c r="B671" s="104">
        <v>4</v>
      </c>
      <c r="C671" s="134" t="s">
        <v>803</v>
      </c>
      <c r="D671" s="131" t="s">
        <v>804</v>
      </c>
      <c r="E671" s="132"/>
      <c r="F671" s="132">
        <v>79924680</v>
      </c>
      <c r="G671" s="132"/>
      <c r="H671" s="131">
        <v>86111604</v>
      </c>
      <c r="I671" s="134" t="s">
        <v>808</v>
      </c>
      <c r="J671" s="104">
        <v>5</v>
      </c>
      <c r="K671" s="104">
        <v>5</v>
      </c>
      <c r="L671" s="104">
        <v>7</v>
      </c>
      <c r="M671" s="91">
        <f t="shared" si="176"/>
        <v>1</v>
      </c>
      <c r="N671" s="98" t="s">
        <v>54</v>
      </c>
      <c r="O671" s="99" t="s">
        <v>55</v>
      </c>
      <c r="P671" s="151">
        <v>1</v>
      </c>
      <c r="Q671" s="101">
        <f t="shared" si="166"/>
        <v>79924680</v>
      </c>
      <c r="R671" s="101">
        <f t="shared" si="167"/>
        <v>79924680</v>
      </c>
      <c r="S671" s="144" t="s">
        <v>56</v>
      </c>
      <c r="T671" s="151">
        <f t="shared" si="178"/>
        <v>0</v>
      </c>
      <c r="U671" s="27" t="str">
        <f t="shared" si="177"/>
        <v>SUBDIRECCION DE GESTION CONTRACTUAL</v>
      </c>
      <c r="V671" s="151" t="s">
        <v>207</v>
      </c>
      <c r="W671" s="151" t="s">
        <v>208</v>
      </c>
      <c r="X671" s="131" t="s">
        <v>806</v>
      </c>
      <c r="Y671" s="104">
        <v>2427400</v>
      </c>
      <c r="Z671" s="133" t="s">
        <v>807</v>
      </c>
    </row>
    <row r="672" spans="1:26" s="61" customFormat="1" ht="13.9" hidden="1" customHeight="1" x14ac:dyDescent="0.2">
      <c r="A672" s="171" t="s">
        <v>796</v>
      </c>
      <c r="B672" s="104">
        <v>5</v>
      </c>
      <c r="C672" s="134" t="s">
        <v>803</v>
      </c>
      <c r="D672" s="131" t="s">
        <v>804</v>
      </c>
      <c r="E672" s="132"/>
      <c r="F672" s="132">
        <f>10500000-3906584</f>
        <v>6593416</v>
      </c>
      <c r="G672" s="132"/>
      <c r="H672" s="131">
        <v>42172001</v>
      </c>
      <c r="I672" s="134" t="s">
        <v>809</v>
      </c>
      <c r="J672" s="104">
        <v>4</v>
      </c>
      <c r="K672" s="104">
        <v>4</v>
      </c>
      <c r="L672" s="104">
        <v>2</v>
      </c>
      <c r="M672" s="91">
        <f t="shared" si="176"/>
        <v>1</v>
      </c>
      <c r="N672" s="98" t="s">
        <v>100</v>
      </c>
      <c r="O672" s="99" t="s">
        <v>101</v>
      </c>
      <c r="P672" s="151">
        <v>1</v>
      </c>
      <c r="Q672" s="101">
        <f t="shared" si="166"/>
        <v>6593416</v>
      </c>
      <c r="R672" s="101">
        <f t="shared" si="167"/>
        <v>6593416</v>
      </c>
      <c r="S672" s="144" t="s">
        <v>56</v>
      </c>
      <c r="T672" s="151">
        <f t="shared" si="178"/>
        <v>0</v>
      </c>
      <c r="U672" s="27" t="str">
        <f t="shared" si="177"/>
        <v>SUBDIRECCION DE GESTION CONTRACTUAL</v>
      </c>
      <c r="V672" s="151" t="s">
        <v>207</v>
      </c>
      <c r="W672" s="151" t="s">
        <v>208</v>
      </c>
      <c r="X672" s="131" t="s">
        <v>806</v>
      </c>
      <c r="Y672" s="104">
        <v>2427400</v>
      </c>
      <c r="Z672" s="133" t="s">
        <v>807</v>
      </c>
    </row>
    <row r="673" spans="1:26" s="61" customFormat="1" ht="13.9" hidden="1" customHeight="1" x14ac:dyDescent="0.2">
      <c r="A673" s="171" t="s">
        <v>796</v>
      </c>
      <c r="B673" s="104">
        <v>6</v>
      </c>
      <c r="C673" s="134" t="s">
        <v>803</v>
      </c>
      <c r="D673" s="131" t="s">
        <v>804</v>
      </c>
      <c r="E673" s="132"/>
      <c r="F673" s="132">
        <f>20000000+9506186-9506186</f>
        <v>20000000</v>
      </c>
      <c r="G673" s="132"/>
      <c r="H673" s="131">
        <v>46182205</v>
      </c>
      <c r="I673" s="134" t="s">
        <v>810</v>
      </c>
      <c r="J673" s="104">
        <v>5</v>
      </c>
      <c r="K673" s="104">
        <v>5</v>
      </c>
      <c r="L673" s="104">
        <v>3</v>
      </c>
      <c r="M673" s="91">
        <f t="shared" si="176"/>
        <v>1</v>
      </c>
      <c r="N673" s="98" t="s">
        <v>100</v>
      </c>
      <c r="O673" s="99" t="s">
        <v>101</v>
      </c>
      <c r="P673" s="151">
        <v>1</v>
      </c>
      <c r="Q673" s="101">
        <f t="shared" si="166"/>
        <v>20000000</v>
      </c>
      <c r="R673" s="101">
        <f t="shared" si="167"/>
        <v>20000000</v>
      </c>
      <c r="S673" s="144" t="s">
        <v>56</v>
      </c>
      <c r="T673" s="151">
        <f t="shared" si="178"/>
        <v>0</v>
      </c>
      <c r="U673" s="27" t="str">
        <f t="shared" si="177"/>
        <v>SUBDIRECCION DE GESTION CONTRACTUAL</v>
      </c>
      <c r="V673" s="151" t="s">
        <v>207</v>
      </c>
      <c r="W673" s="151" t="s">
        <v>208</v>
      </c>
      <c r="X673" s="131" t="s">
        <v>806</v>
      </c>
      <c r="Y673" s="104">
        <v>2427400</v>
      </c>
      <c r="Z673" s="133" t="s">
        <v>807</v>
      </c>
    </row>
    <row r="674" spans="1:26" s="61" customFormat="1" ht="13.9" hidden="1" customHeight="1" x14ac:dyDescent="0.2">
      <c r="A674" s="171" t="s">
        <v>796</v>
      </c>
      <c r="B674" s="104">
        <v>7</v>
      </c>
      <c r="C674" s="134" t="s">
        <v>803</v>
      </c>
      <c r="D674" s="131" t="s">
        <v>804</v>
      </c>
      <c r="E674" s="132"/>
      <c r="F674" s="132">
        <v>10300000</v>
      </c>
      <c r="G674" s="132"/>
      <c r="H674" s="131">
        <v>84111600</v>
      </c>
      <c r="I674" s="134" t="s">
        <v>811</v>
      </c>
      <c r="J674" s="104">
        <v>8</v>
      </c>
      <c r="K674" s="104">
        <v>8</v>
      </c>
      <c r="L674" s="104">
        <v>4</v>
      </c>
      <c r="M674" s="91">
        <f t="shared" si="176"/>
        <v>1</v>
      </c>
      <c r="N674" s="98" t="s">
        <v>54</v>
      </c>
      <c r="O674" s="99" t="s">
        <v>55</v>
      </c>
      <c r="P674" s="151">
        <v>1</v>
      </c>
      <c r="Q674" s="101">
        <f t="shared" si="166"/>
        <v>10300000</v>
      </c>
      <c r="R674" s="101">
        <f t="shared" si="167"/>
        <v>10300000</v>
      </c>
      <c r="S674" s="144" t="s">
        <v>56</v>
      </c>
      <c r="T674" s="151">
        <f t="shared" si="178"/>
        <v>0</v>
      </c>
      <c r="U674" s="27" t="str">
        <f t="shared" si="177"/>
        <v>SUBDIRECCION DE GESTION CONTRACTUAL</v>
      </c>
      <c r="V674" s="151" t="s">
        <v>207</v>
      </c>
      <c r="W674" s="151" t="s">
        <v>208</v>
      </c>
      <c r="X674" s="131" t="s">
        <v>806</v>
      </c>
      <c r="Y674" s="104">
        <v>2427400</v>
      </c>
      <c r="Z674" s="133" t="s">
        <v>807</v>
      </c>
    </row>
    <row r="675" spans="1:26" s="61" customFormat="1" ht="13.9" hidden="1" customHeight="1" x14ac:dyDescent="0.2">
      <c r="A675" s="171" t="s">
        <v>796</v>
      </c>
      <c r="B675" s="104">
        <v>8</v>
      </c>
      <c r="C675" s="134" t="s">
        <v>803</v>
      </c>
      <c r="D675" s="131" t="s">
        <v>804</v>
      </c>
      <c r="E675" s="132"/>
      <c r="F675" s="132">
        <f>13800700+14043200-5599602</f>
        <v>22244298</v>
      </c>
      <c r="G675" s="132"/>
      <c r="H675" s="131">
        <v>85161502</v>
      </c>
      <c r="I675" s="134" t="s">
        <v>812</v>
      </c>
      <c r="J675" s="104">
        <v>6</v>
      </c>
      <c r="K675" s="104">
        <v>6</v>
      </c>
      <c r="L675" s="104">
        <v>6</v>
      </c>
      <c r="M675" s="91">
        <f t="shared" si="176"/>
        <v>1</v>
      </c>
      <c r="N675" s="98" t="s">
        <v>100</v>
      </c>
      <c r="O675" s="99" t="s">
        <v>101</v>
      </c>
      <c r="P675" s="151">
        <v>1</v>
      </c>
      <c r="Q675" s="101">
        <f t="shared" si="166"/>
        <v>22244298</v>
      </c>
      <c r="R675" s="101">
        <f t="shared" si="167"/>
        <v>22244298</v>
      </c>
      <c r="S675" s="144" t="s">
        <v>56</v>
      </c>
      <c r="T675" s="151">
        <f t="shared" si="178"/>
        <v>0</v>
      </c>
      <c r="U675" s="27" t="str">
        <f t="shared" si="177"/>
        <v>SUBDIRECCION DE GESTION CONTRACTUAL</v>
      </c>
      <c r="V675" s="151" t="s">
        <v>207</v>
      </c>
      <c r="W675" s="151" t="s">
        <v>208</v>
      </c>
      <c r="X675" s="131" t="s">
        <v>806</v>
      </c>
      <c r="Y675" s="104">
        <v>2427400</v>
      </c>
      <c r="Z675" s="133" t="s">
        <v>807</v>
      </c>
    </row>
    <row r="676" spans="1:26" s="61" customFormat="1" ht="13.9" hidden="1" customHeight="1" x14ac:dyDescent="0.2">
      <c r="A676" s="171" t="s">
        <v>796</v>
      </c>
      <c r="B676" s="104">
        <v>9</v>
      </c>
      <c r="C676" s="134" t="s">
        <v>803</v>
      </c>
      <c r="D676" s="131" t="s">
        <v>804</v>
      </c>
      <c r="E676" s="132"/>
      <c r="F676" s="132">
        <f>13000000-13000000</f>
        <v>0</v>
      </c>
      <c r="G676" s="132"/>
      <c r="H676" s="131">
        <v>85122201</v>
      </c>
      <c r="I676" s="134" t="s">
        <v>813</v>
      </c>
      <c r="J676" s="104">
        <v>9</v>
      </c>
      <c r="K676" s="104">
        <v>9</v>
      </c>
      <c r="L676" s="104">
        <v>3</v>
      </c>
      <c r="M676" s="91">
        <f t="shared" si="176"/>
        <v>1</v>
      </c>
      <c r="N676" s="98" t="s">
        <v>100</v>
      </c>
      <c r="O676" s="99" t="s">
        <v>101</v>
      </c>
      <c r="P676" s="151">
        <v>1</v>
      </c>
      <c r="Q676" s="101">
        <f t="shared" si="166"/>
        <v>0</v>
      </c>
      <c r="R676" s="101">
        <f t="shared" si="167"/>
        <v>0</v>
      </c>
      <c r="S676" s="144" t="s">
        <v>56</v>
      </c>
      <c r="T676" s="151">
        <f t="shared" si="178"/>
        <v>0</v>
      </c>
      <c r="U676" s="27" t="str">
        <f t="shared" si="177"/>
        <v>SUBDIRECCION DE GESTION CONTRACTUAL</v>
      </c>
      <c r="V676" s="151" t="s">
        <v>207</v>
      </c>
      <c r="W676" s="151" t="s">
        <v>208</v>
      </c>
      <c r="X676" s="131" t="s">
        <v>806</v>
      </c>
      <c r="Y676" s="104">
        <v>2427400</v>
      </c>
      <c r="Z676" s="133" t="s">
        <v>807</v>
      </c>
    </row>
    <row r="677" spans="1:26" s="61" customFormat="1" ht="13.9" hidden="1" customHeight="1" x14ac:dyDescent="0.2">
      <c r="A677" s="171" t="s">
        <v>796</v>
      </c>
      <c r="B677" s="104">
        <v>10</v>
      </c>
      <c r="C677" s="134" t="s">
        <v>803</v>
      </c>
      <c r="D677" s="131" t="s">
        <v>814</v>
      </c>
      <c r="E677" s="132"/>
      <c r="F677" s="132">
        <f>38262898-38262898</f>
        <v>0</v>
      </c>
      <c r="G677" s="132"/>
      <c r="H677" s="131">
        <v>86111604</v>
      </c>
      <c r="I677" s="134" t="s">
        <v>815</v>
      </c>
      <c r="J677" s="104">
        <v>2</v>
      </c>
      <c r="K677" s="104">
        <v>4</v>
      </c>
      <c r="L677" s="104">
        <v>8</v>
      </c>
      <c r="M677" s="91">
        <f t="shared" si="176"/>
        <v>1</v>
      </c>
      <c r="N677" s="98" t="s">
        <v>100</v>
      </c>
      <c r="O677" s="99" t="s">
        <v>101</v>
      </c>
      <c r="P677" s="151">
        <v>1</v>
      </c>
      <c r="Q677" s="101">
        <f t="shared" si="166"/>
        <v>0</v>
      </c>
      <c r="R677" s="101">
        <f t="shared" si="167"/>
        <v>0</v>
      </c>
      <c r="S677" s="144" t="s">
        <v>56</v>
      </c>
      <c r="T677" s="151">
        <f t="shared" si="178"/>
        <v>0</v>
      </c>
      <c r="U677" s="27" t="str">
        <f t="shared" si="177"/>
        <v>SUBDIRECCION DE GESTION CONTRACTUAL</v>
      </c>
      <c r="V677" s="151" t="s">
        <v>207</v>
      </c>
      <c r="W677" s="151" t="s">
        <v>208</v>
      </c>
      <c r="X677" s="131" t="s">
        <v>816</v>
      </c>
      <c r="Y677" s="104">
        <v>2427400</v>
      </c>
      <c r="Z677" s="133" t="s">
        <v>817</v>
      </c>
    </row>
    <row r="678" spans="1:26" s="61" customFormat="1" ht="13.9" hidden="1" customHeight="1" x14ac:dyDescent="0.2">
      <c r="A678" s="171" t="s">
        <v>796</v>
      </c>
      <c r="B678" s="104">
        <v>11</v>
      </c>
      <c r="C678" s="134" t="s">
        <v>803</v>
      </c>
      <c r="D678" s="131" t="s">
        <v>814</v>
      </c>
      <c r="E678" s="132"/>
      <c r="F678" s="132">
        <f>89280096-89280096</f>
        <v>0</v>
      </c>
      <c r="G678" s="132"/>
      <c r="H678" s="131">
        <v>86111604</v>
      </c>
      <c r="I678" s="134" t="s">
        <v>818</v>
      </c>
      <c r="J678" s="104">
        <v>3</v>
      </c>
      <c r="K678" s="104">
        <v>4</v>
      </c>
      <c r="L678" s="104">
        <v>8</v>
      </c>
      <c r="M678" s="91">
        <f t="shared" si="176"/>
        <v>1</v>
      </c>
      <c r="N678" s="98" t="s">
        <v>64</v>
      </c>
      <c r="O678" s="99" t="s">
        <v>65</v>
      </c>
      <c r="P678" s="151">
        <v>1</v>
      </c>
      <c r="Q678" s="101">
        <f t="shared" si="166"/>
        <v>0</v>
      </c>
      <c r="R678" s="101">
        <f t="shared" si="167"/>
        <v>0</v>
      </c>
      <c r="S678" s="144" t="s">
        <v>56</v>
      </c>
      <c r="T678" s="151">
        <f t="shared" si="178"/>
        <v>0</v>
      </c>
      <c r="U678" s="27" t="str">
        <f t="shared" si="177"/>
        <v>SUBDIRECCION DE GESTION CONTRACTUAL</v>
      </c>
      <c r="V678" s="151" t="s">
        <v>207</v>
      </c>
      <c r="W678" s="151" t="s">
        <v>208</v>
      </c>
      <c r="X678" s="131" t="s">
        <v>816</v>
      </c>
      <c r="Y678" s="104">
        <v>2427400</v>
      </c>
      <c r="Z678" s="133" t="s">
        <v>817</v>
      </c>
    </row>
    <row r="679" spans="1:26" s="61" customFormat="1" ht="13.9" hidden="1" customHeight="1" x14ac:dyDescent="0.2">
      <c r="A679" s="171" t="s">
        <v>796</v>
      </c>
      <c r="B679" s="104">
        <v>12</v>
      </c>
      <c r="C679" s="134" t="s">
        <v>803</v>
      </c>
      <c r="D679" s="131" t="s">
        <v>819</v>
      </c>
      <c r="E679" s="132"/>
      <c r="F679" s="132">
        <v>211356248</v>
      </c>
      <c r="G679" s="132"/>
      <c r="H679" s="131">
        <v>93141506</v>
      </c>
      <c r="I679" s="134" t="s">
        <v>820</v>
      </c>
      <c r="J679" s="104">
        <v>4</v>
      </c>
      <c r="K679" s="104">
        <v>4</v>
      </c>
      <c r="L679" s="104">
        <v>8</v>
      </c>
      <c r="M679" s="91">
        <f t="shared" si="176"/>
        <v>1</v>
      </c>
      <c r="N679" s="98" t="s">
        <v>64</v>
      </c>
      <c r="O679" s="99" t="s">
        <v>65</v>
      </c>
      <c r="P679" s="151">
        <v>1</v>
      </c>
      <c r="Q679" s="101">
        <f t="shared" si="166"/>
        <v>211356248</v>
      </c>
      <c r="R679" s="101">
        <f t="shared" si="167"/>
        <v>211356248</v>
      </c>
      <c r="S679" s="144" t="s">
        <v>56</v>
      </c>
      <c r="T679" s="151">
        <f t="shared" si="178"/>
        <v>0</v>
      </c>
      <c r="U679" s="27" t="str">
        <f t="shared" si="177"/>
        <v>SUBDIRECCION DE GESTION CONTRACTUAL</v>
      </c>
      <c r="V679" s="151" t="s">
        <v>207</v>
      </c>
      <c r="W679" s="151" t="s">
        <v>208</v>
      </c>
      <c r="X679" s="131" t="s">
        <v>816</v>
      </c>
      <c r="Y679" s="104">
        <v>2427400</v>
      </c>
      <c r="Z679" s="133" t="s">
        <v>817</v>
      </c>
    </row>
    <row r="680" spans="1:26" s="61" customFormat="1" ht="13.9" hidden="1" customHeight="1" x14ac:dyDescent="0.2">
      <c r="A680" s="171" t="s">
        <v>796</v>
      </c>
      <c r="B680" s="104">
        <v>13</v>
      </c>
      <c r="C680" s="134" t="s">
        <v>821</v>
      </c>
      <c r="D680" s="131" t="s">
        <v>632</v>
      </c>
      <c r="E680" s="132"/>
      <c r="F680" s="132">
        <v>487520379</v>
      </c>
      <c r="G680" s="132"/>
      <c r="H680" s="94" t="s">
        <v>59</v>
      </c>
      <c r="I680" s="134" t="s">
        <v>822</v>
      </c>
      <c r="J680" s="95">
        <v>3</v>
      </c>
      <c r="K680" s="96">
        <v>4</v>
      </c>
      <c r="L680" s="97">
        <v>9</v>
      </c>
      <c r="M680" s="91">
        <f t="shared" si="176"/>
        <v>1</v>
      </c>
      <c r="N680" s="98" t="s">
        <v>61</v>
      </c>
      <c r="O680" s="99" t="s">
        <v>62</v>
      </c>
      <c r="P680" s="151">
        <v>1</v>
      </c>
      <c r="Q680" s="101">
        <f t="shared" si="166"/>
        <v>487520379</v>
      </c>
      <c r="R680" s="101">
        <f t="shared" si="167"/>
        <v>487520379</v>
      </c>
      <c r="S680" s="144" t="s">
        <v>56</v>
      </c>
      <c r="T680" s="151">
        <f t="shared" si="178"/>
        <v>0</v>
      </c>
      <c r="U680" s="27" t="str">
        <f t="shared" si="177"/>
        <v>SUBDIRECCION DE GESTION CONTRACTUAL</v>
      </c>
      <c r="V680" s="91" t="str">
        <f t="shared" ref="V680:V712" si="184">IF(ISBLANK(N680),"","CO-DC")</f>
        <v>CO-DC</v>
      </c>
      <c r="W680" s="27" t="str">
        <f t="shared" ref="W680:W712" si="185">IF(ISBLANK(N680),"","Distrito Capital de Bogotá")</f>
        <v>Distrito Capital de Bogotá</v>
      </c>
      <c r="X680" s="103" t="s">
        <v>162</v>
      </c>
      <c r="Y680" s="104">
        <v>2427400</v>
      </c>
      <c r="Z680" s="133" t="s">
        <v>163</v>
      </c>
    </row>
    <row r="681" spans="1:26" s="61" customFormat="1" ht="13.9" hidden="1" customHeight="1" x14ac:dyDescent="0.2">
      <c r="A681" s="171" t="s">
        <v>796</v>
      </c>
      <c r="B681" s="104">
        <v>14</v>
      </c>
      <c r="C681" s="134" t="s">
        <v>803</v>
      </c>
      <c r="D681" s="131" t="s">
        <v>804</v>
      </c>
      <c r="E681" s="132"/>
      <c r="F681" s="132">
        <v>22506000</v>
      </c>
      <c r="G681" s="132"/>
      <c r="H681" s="94">
        <v>56112104</v>
      </c>
      <c r="I681" s="134" t="s">
        <v>823</v>
      </c>
      <c r="J681" s="95">
        <v>11</v>
      </c>
      <c r="K681" s="95">
        <v>11</v>
      </c>
      <c r="L681" s="97">
        <v>2</v>
      </c>
      <c r="M681" s="91">
        <v>2</v>
      </c>
      <c r="N681" s="98" t="s">
        <v>87</v>
      </c>
      <c r="O681" s="99" t="s">
        <v>88</v>
      </c>
      <c r="P681" s="151">
        <v>1</v>
      </c>
      <c r="Q681" s="101">
        <f t="shared" si="166"/>
        <v>22506000</v>
      </c>
      <c r="R681" s="101">
        <f t="shared" si="167"/>
        <v>22506000</v>
      </c>
      <c r="S681" s="144" t="s">
        <v>56</v>
      </c>
      <c r="T681" s="151">
        <f t="shared" si="178"/>
        <v>0</v>
      </c>
      <c r="U681" s="27" t="str">
        <f t="shared" si="177"/>
        <v>SUBDIRECCION DE GESTION CONTRACTUAL</v>
      </c>
      <c r="V681" s="91" t="str">
        <f t="shared" si="184"/>
        <v>CO-DC</v>
      </c>
      <c r="W681" s="27" t="str">
        <f t="shared" si="185"/>
        <v>Distrito Capital de Bogotá</v>
      </c>
      <c r="X681" s="131" t="s">
        <v>806</v>
      </c>
      <c r="Y681" s="104">
        <v>2427400</v>
      </c>
      <c r="Z681" s="133" t="s">
        <v>807</v>
      </c>
    </row>
    <row r="682" spans="1:26" s="61" customFormat="1" ht="13.9" hidden="1" customHeight="1" x14ac:dyDescent="0.2">
      <c r="A682" s="171" t="s">
        <v>824</v>
      </c>
      <c r="B682" s="104">
        <v>3</v>
      </c>
      <c r="C682" s="134" t="s">
        <v>825</v>
      </c>
      <c r="D682" s="131" t="s">
        <v>826</v>
      </c>
      <c r="E682" s="132"/>
      <c r="F682" s="132">
        <v>3707485959</v>
      </c>
      <c r="G682" s="132"/>
      <c r="H682" s="131" t="s">
        <v>827</v>
      </c>
      <c r="I682" s="134" t="s">
        <v>828</v>
      </c>
      <c r="J682" s="104">
        <v>1</v>
      </c>
      <c r="K682" s="104">
        <v>1</v>
      </c>
      <c r="L682" s="104">
        <v>12</v>
      </c>
      <c r="M682" s="91">
        <f t="shared" si="176"/>
        <v>1</v>
      </c>
      <c r="N682" s="98" t="s">
        <v>64</v>
      </c>
      <c r="O682" s="99" t="s">
        <v>65</v>
      </c>
      <c r="P682" s="151">
        <f t="shared" ref="P682:P713" si="186">IF(ISBLANK(N682),"",1)</f>
        <v>1</v>
      </c>
      <c r="Q682" s="101">
        <f t="shared" si="166"/>
        <v>3707485959</v>
      </c>
      <c r="R682" s="101">
        <f t="shared" si="167"/>
        <v>3707485959</v>
      </c>
      <c r="S682" s="144" t="s">
        <v>56</v>
      </c>
      <c r="T682" s="151">
        <f t="shared" si="178"/>
        <v>0</v>
      </c>
      <c r="U682" s="27" t="str">
        <f t="shared" si="177"/>
        <v>SUBDIRECCION DE GESTION CONTRACTUAL</v>
      </c>
      <c r="V682" s="151" t="str">
        <f t="shared" si="184"/>
        <v>CO-DC</v>
      </c>
      <c r="W682" s="151" t="str">
        <f t="shared" si="185"/>
        <v>Distrito Capital de Bogotá</v>
      </c>
      <c r="X682" s="131" t="s">
        <v>829</v>
      </c>
      <c r="Y682" s="104">
        <v>2427400</v>
      </c>
      <c r="Z682" s="133" t="s">
        <v>830</v>
      </c>
    </row>
    <row r="683" spans="1:26" s="61" customFormat="1" ht="13.9" hidden="1" customHeight="1" x14ac:dyDescent="0.2">
      <c r="A683" s="171" t="s">
        <v>824</v>
      </c>
      <c r="B683" s="104">
        <v>2</v>
      </c>
      <c r="C683" s="134" t="s">
        <v>825</v>
      </c>
      <c r="D683" s="131" t="s">
        <v>826</v>
      </c>
      <c r="E683" s="132"/>
      <c r="F683" s="132">
        <v>4613461369</v>
      </c>
      <c r="G683" s="132"/>
      <c r="H683" s="131">
        <v>45121500</v>
      </c>
      <c r="I683" s="134" t="s">
        <v>831</v>
      </c>
      <c r="J683" s="104">
        <v>1</v>
      </c>
      <c r="K683" s="104">
        <v>1</v>
      </c>
      <c r="L683" s="104">
        <v>12</v>
      </c>
      <c r="M683" s="91">
        <f t="shared" si="176"/>
        <v>1</v>
      </c>
      <c r="N683" s="98" t="s">
        <v>64</v>
      </c>
      <c r="O683" s="99" t="s">
        <v>65</v>
      </c>
      <c r="P683" s="151">
        <f t="shared" si="186"/>
        <v>1</v>
      </c>
      <c r="Q683" s="101">
        <f t="shared" si="166"/>
        <v>4613461369</v>
      </c>
      <c r="R683" s="101">
        <f t="shared" si="167"/>
        <v>4613461369</v>
      </c>
      <c r="S683" s="144" t="s">
        <v>56</v>
      </c>
      <c r="T683" s="151">
        <f t="shared" si="178"/>
        <v>0</v>
      </c>
      <c r="U683" s="27" t="str">
        <f t="shared" si="177"/>
        <v>SUBDIRECCION DE GESTION CONTRACTUAL</v>
      </c>
      <c r="V683" s="151" t="str">
        <f t="shared" si="184"/>
        <v>CO-DC</v>
      </c>
      <c r="W683" s="151" t="str">
        <f t="shared" si="185"/>
        <v>Distrito Capital de Bogotá</v>
      </c>
      <c r="X683" s="131" t="s">
        <v>829</v>
      </c>
      <c r="Y683" s="104">
        <v>2427400</v>
      </c>
      <c r="Z683" s="133" t="s">
        <v>830</v>
      </c>
    </row>
    <row r="684" spans="1:26" s="61" customFormat="1" ht="13.9" hidden="1" customHeight="1" x14ac:dyDescent="0.2">
      <c r="A684" s="171" t="s">
        <v>824</v>
      </c>
      <c r="B684" s="104">
        <v>3</v>
      </c>
      <c r="C684" s="134" t="s">
        <v>825</v>
      </c>
      <c r="D684" s="131" t="s">
        <v>826</v>
      </c>
      <c r="E684" s="132"/>
      <c r="F684" s="132">
        <v>7993465398.3800001</v>
      </c>
      <c r="G684" s="132"/>
      <c r="H684" s="131" t="s">
        <v>827</v>
      </c>
      <c r="I684" s="134" t="s">
        <v>832</v>
      </c>
      <c r="J684" s="104">
        <v>1</v>
      </c>
      <c r="K684" s="104">
        <v>1</v>
      </c>
      <c r="L684" s="104">
        <v>12</v>
      </c>
      <c r="M684" s="91">
        <f t="shared" si="176"/>
        <v>1</v>
      </c>
      <c r="N684" s="98" t="s">
        <v>64</v>
      </c>
      <c r="O684" s="99" t="s">
        <v>65</v>
      </c>
      <c r="P684" s="151">
        <f t="shared" si="186"/>
        <v>1</v>
      </c>
      <c r="Q684" s="101">
        <f t="shared" si="166"/>
        <v>7993465398.3800001</v>
      </c>
      <c r="R684" s="101">
        <f t="shared" si="167"/>
        <v>7993465398.3800001</v>
      </c>
      <c r="S684" s="144" t="s">
        <v>56</v>
      </c>
      <c r="T684" s="151">
        <f t="shared" si="178"/>
        <v>0</v>
      </c>
      <c r="U684" s="27" t="str">
        <f t="shared" si="177"/>
        <v>SUBDIRECCION DE GESTION CONTRACTUAL</v>
      </c>
      <c r="V684" s="151" t="str">
        <f t="shared" si="184"/>
        <v>CO-DC</v>
      </c>
      <c r="W684" s="151" t="str">
        <f t="shared" si="185"/>
        <v>Distrito Capital de Bogotá</v>
      </c>
      <c r="X684" s="131" t="s">
        <v>829</v>
      </c>
      <c r="Y684" s="104">
        <v>2427400</v>
      </c>
      <c r="Z684" s="133" t="s">
        <v>830</v>
      </c>
    </row>
    <row r="685" spans="1:26" s="61" customFormat="1" ht="13.9" hidden="1" customHeight="1" x14ac:dyDescent="0.2">
      <c r="A685" s="171" t="s">
        <v>824</v>
      </c>
      <c r="B685" s="104">
        <v>4</v>
      </c>
      <c r="C685" s="134" t="s">
        <v>825</v>
      </c>
      <c r="D685" s="131" t="s">
        <v>826</v>
      </c>
      <c r="E685" s="132"/>
      <c r="F685" s="132">
        <v>4200003823</v>
      </c>
      <c r="G685" s="132"/>
      <c r="H685" s="131">
        <v>45121500</v>
      </c>
      <c r="I685" s="134" t="s">
        <v>833</v>
      </c>
      <c r="J685" s="104">
        <v>1</v>
      </c>
      <c r="K685" s="104">
        <v>1</v>
      </c>
      <c r="L685" s="104">
        <v>12</v>
      </c>
      <c r="M685" s="91">
        <f t="shared" si="176"/>
        <v>1</v>
      </c>
      <c r="N685" s="98" t="s">
        <v>64</v>
      </c>
      <c r="O685" s="99" t="s">
        <v>65</v>
      </c>
      <c r="P685" s="151">
        <f t="shared" si="186"/>
        <v>1</v>
      </c>
      <c r="Q685" s="101">
        <f t="shared" si="166"/>
        <v>4200003823</v>
      </c>
      <c r="R685" s="101">
        <f t="shared" si="167"/>
        <v>4200003823</v>
      </c>
      <c r="S685" s="144" t="s">
        <v>56</v>
      </c>
      <c r="T685" s="151">
        <f t="shared" si="178"/>
        <v>0</v>
      </c>
      <c r="U685" s="27" t="str">
        <f t="shared" si="177"/>
        <v>SUBDIRECCION DE GESTION CONTRACTUAL</v>
      </c>
      <c r="V685" s="151" t="str">
        <f t="shared" si="184"/>
        <v>CO-DC</v>
      </c>
      <c r="W685" s="151" t="str">
        <f t="shared" si="185"/>
        <v>Distrito Capital de Bogotá</v>
      </c>
      <c r="X685" s="131" t="s">
        <v>829</v>
      </c>
      <c r="Y685" s="104">
        <v>2427400</v>
      </c>
      <c r="Z685" s="133" t="s">
        <v>830</v>
      </c>
    </row>
    <row r="686" spans="1:26" s="61" customFormat="1" ht="13.9" hidden="1" customHeight="1" x14ac:dyDescent="0.2">
      <c r="A686" s="171" t="s">
        <v>824</v>
      </c>
      <c r="B686" s="104">
        <v>5</v>
      </c>
      <c r="C686" s="134" t="s">
        <v>825</v>
      </c>
      <c r="D686" s="131" t="s">
        <v>826</v>
      </c>
      <c r="E686" s="132"/>
      <c r="F686" s="132">
        <v>1906418842</v>
      </c>
      <c r="G686" s="132"/>
      <c r="H686" s="131" t="s">
        <v>834</v>
      </c>
      <c r="I686" s="134" t="s">
        <v>835</v>
      </c>
      <c r="J686" s="104">
        <v>1</v>
      </c>
      <c r="K686" s="104">
        <v>1</v>
      </c>
      <c r="L686" s="104">
        <v>12</v>
      </c>
      <c r="M686" s="91">
        <f t="shared" si="176"/>
        <v>1</v>
      </c>
      <c r="N686" s="98" t="s">
        <v>64</v>
      </c>
      <c r="O686" s="99" t="s">
        <v>65</v>
      </c>
      <c r="P686" s="151">
        <f t="shared" si="186"/>
        <v>1</v>
      </c>
      <c r="Q686" s="101">
        <f t="shared" si="166"/>
        <v>1906418842</v>
      </c>
      <c r="R686" s="101">
        <f t="shared" si="167"/>
        <v>1906418842</v>
      </c>
      <c r="S686" s="144" t="s">
        <v>56</v>
      </c>
      <c r="T686" s="151">
        <f t="shared" si="178"/>
        <v>0</v>
      </c>
      <c r="U686" s="27" t="str">
        <f t="shared" si="177"/>
        <v>SUBDIRECCION DE GESTION CONTRACTUAL</v>
      </c>
      <c r="V686" s="151" t="str">
        <f t="shared" si="184"/>
        <v>CO-DC</v>
      </c>
      <c r="W686" s="151" t="str">
        <f t="shared" si="185"/>
        <v>Distrito Capital de Bogotá</v>
      </c>
      <c r="X686" s="131" t="s">
        <v>829</v>
      </c>
      <c r="Y686" s="104">
        <v>2427400</v>
      </c>
      <c r="Z686" s="133" t="s">
        <v>830</v>
      </c>
    </row>
    <row r="687" spans="1:26" s="61" customFormat="1" ht="13.9" hidden="1" customHeight="1" x14ac:dyDescent="0.2">
      <c r="A687" s="171" t="s">
        <v>824</v>
      </c>
      <c r="B687" s="104">
        <v>6</v>
      </c>
      <c r="C687" s="134" t="s">
        <v>825</v>
      </c>
      <c r="D687" s="131" t="s">
        <v>826</v>
      </c>
      <c r="E687" s="132"/>
      <c r="F687" s="132">
        <v>2327373330</v>
      </c>
      <c r="G687" s="132"/>
      <c r="H687" s="131" t="s">
        <v>834</v>
      </c>
      <c r="I687" s="134" t="s">
        <v>836</v>
      </c>
      <c r="J687" s="104">
        <v>1</v>
      </c>
      <c r="K687" s="104">
        <v>1</v>
      </c>
      <c r="L687" s="104">
        <v>12</v>
      </c>
      <c r="M687" s="91">
        <f t="shared" si="176"/>
        <v>1</v>
      </c>
      <c r="N687" s="98" t="s">
        <v>64</v>
      </c>
      <c r="O687" s="99" t="s">
        <v>65</v>
      </c>
      <c r="P687" s="151">
        <f t="shared" si="186"/>
        <v>1</v>
      </c>
      <c r="Q687" s="101">
        <f t="shared" si="166"/>
        <v>2327373330</v>
      </c>
      <c r="R687" s="101">
        <f t="shared" si="167"/>
        <v>2327373330</v>
      </c>
      <c r="S687" s="144" t="s">
        <v>56</v>
      </c>
      <c r="T687" s="151">
        <f t="shared" si="178"/>
        <v>0</v>
      </c>
      <c r="U687" s="27" t="str">
        <f t="shared" si="177"/>
        <v>SUBDIRECCION DE GESTION CONTRACTUAL</v>
      </c>
      <c r="V687" s="151" t="str">
        <f t="shared" si="184"/>
        <v>CO-DC</v>
      </c>
      <c r="W687" s="151" t="str">
        <f t="shared" si="185"/>
        <v>Distrito Capital de Bogotá</v>
      </c>
      <c r="X687" s="131" t="s">
        <v>829</v>
      </c>
      <c r="Y687" s="104">
        <v>2427400</v>
      </c>
      <c r="Z687" s="133" t="s">
        <v>830</v>
      </c>
    </row>
    <row r="688" spans="1:26" s="61" customFormat="1" ht="13.9" hidden="1" customHeight="1" x14ac:dyDescent="0.2">
      <c r="A688" s="171" t="s">
        <v>824</v>
      </c>
      <c r="B688" s="104">
        <v>7</v>
      </c>
      <c r="C688" s="134" t="s">
        <v>825</v>
      </c>
      <c r="D688" s="131" t="s">
        <v>826</v>
      </c>
      <c r="E688" s="132"/>
      <c r="F688" s="132">
        <v>1310662954</v>
      </c>
      <c r="G688" s="132"/>
      <c r="H688" s="131" t="s">
        <v>834</v>
      </c>
      <c r="I688" s="134" t="s">
        <v>837</v>
      </c>
      <c r="J688" s="104">
        <v>1</v>
      </c>
      <c r="K688" s="104">
        <v>1</v>
      </c>
      <c r="L688" s="104">
        <v>12</v>
      </c>
      <c r="M688" s="91">
        <f t="shared" si="176"/>
        <v>1</v>
      </c>
      <c r="N688" s="98" t="s">
        <v>64</v>
      </c>
      <c r="O688" s="99" t="s">
        <v>65</v>
      </c>
      <c r="P688" s="151">
        <f t="shared" si="186"/>
        <v>1</v>
      </c>
      <c r="Q688" s="101">
        <f t="shared" si="166"/>
        <v>1310662954</v>
      </c>
      <c r="R688" s="101">
        <f t="shared" si="167"/>
        <v>1310662954</v>
      </c>
      <c r="S688" s="144" t="s">
        <v>56</v>
      </c>
      <c r="T688" s="151">
        <f t="shared" si="178"/>
        <v>0</v>
      </c>
      <c r="U688" s="27" t="str">
        <f t="shared" si="177"/>
        <v>SUBDIRECCION DE GESTION CONTRACTUAL</v>
      </c>
      <c r="V688" s="151" t="str">
        <f t="shared" si="184"/>
        <v>CO-DC</v>
      </c>
      <c r="W688" s="151" t="str">
        <f t="shared" si="185"/>
        <v>Distrito Capital de Bogotá</v>
      </c>
      <c r="X688" s="131" t="s">
        <v>829</v>
      </c>
      <c r="Y688" s="104">
        <v>2427400</v>
      </c>
      <c r="Z688" s="133" t="s">
        <v>830</v>
      </c>
    </row>
    <row r="689" spans="1:26" s="61" customFormat="1" ht="13.9" hidden="1" customHeight="1" x14ac:dyDescent="0.2">
      <c r="A689" s="171" t="s">
        <v>824</v>
      </c>
      <c r="B689" s="104">
        <v>8</v>
      </c>
      <c r="C689" s="134" t="s">
        <v>825</v>
      </c>
      <c r="D689" s="131" t="s">
        <v>826</v>
      </c>
      <c r="E689" s="132"/>
      <c r="F689" s="132">
        <v>1600069165</v>
      </c>
      <c r="G689" s="132"/>
      <c r="H689" s="131" t="s">
        <v>834</v>
      </c>
      <c r="I689" s="134" t="s">
        <v>838</v>
      </c>
      <c r="J689" s="104">
        <v>1</v>
      </c>
      <c r="K689" s="104">
        <v>1</v>
      </c>
      <c r="L689" s="104">
        <v>12</v>
      </c>
      <c r="M689" s="91">
        <f t="shared" si="176"/>
        <v>1</v>
      </c>
      <c r="N689" s="98" t="s">
        <v>64</v>
      </c>
      <c r="O689" s="99" t="s">
        <v>65</v>
      </c>
      <c r="P689" s="151">
        <f t="shared" si="186"/>
        <v>1</v>
      </c>
      <c r="Q689" s="101">
        <f t="shared" si="166"/>
        <v>1600069165</v>
      </c>
      <c r="R689" s="101">
        <f t="shared" si="167"/>
        <v>1600069165</v>
      </c>
      <c r="S689" s="144" t="s">
        <v>56</v>
      </c>
      <c r="T689" s="151">
        <f t="shared" si="178"/>
        <v>0</v>
      </c>
      <c r="U689" s="27" t="str">
        <f t="shared" si="177"/>
        <v>SUBDIRECCION DE GESTION CONTRACTUAL</v>
      </c>
      <c r="V689" s="151" t="str">
        <f t="shared" si="184"/>
        <v>CO-DC</v>
      </c>
      <c r="W689" s="151" t="str">
        <f t="shared" si="185"/>
        <v>Distrito Capital de Bogotá</v>
      </c>
      <c r="X689" s="131" t="s">
        <v>829</v>
      </c>
      <c r="Y689" s="104">
        <v>2427400</v>
      </c>
      <c r="Z689" s="133" t="s">
        <v>830</v>
      </c>
    </row>
    <row r="690" spans="1:26" s="61" customFormat="1" ht="13.9" hidden="1" customHeight="1" x14ac:dyDescent="0.2">
      <c r="A690" s="171" t="s">
        <v>824</v>
      </c>
      <c r="B690" s="104">
        <v>9</v>
      </c>
      <c r="C690" s="134" t="s">
        <v>825</v>
      </c>
      <c r="D690" s="131" t="s">
        <v>826</v>
      </c>
      <c r="E690" s="132"/>
      <c r="F690" s="132">
        <v>2560694474</v>
      </c>
      <c r="G690" s="132"/>
      <c r="H690" s="131" t="s">
        <v>827</v>
      </c>
      <c r="I690" s="134" t="s">
        <v>839</v>
      </c>
      <c r="J690" s="104">
        <v>1</v>
      </c>
      <c r="K690" s="104">
        <v>1</v>
      </c>
      <c r="L690" s="104">
        <v>12</v>
      </c>
      <c r="M690" s="91">
        <f t="shared" si="176"/>
        <v>1</v>
      </c>
      <c r="N690" s="98" t="s">
        <v>64</v>
      </c>
      <c r="O690" s="99" t="s">
        <v>65</v>
      </c>
      <c r="P690" s="151">
        <f t="shared" si="186"/>
        <v>1</v>
      </c>
      <c r="Q690" s="101">
        <f t="shared" ref="Q690:Q753" si="187">+E690+F690+G690</f>
        <v>2560694474</v>
      </c>
      <c r="R690" s="101">
        <f t="shared" ref="R690:R753" si="188">+F690</f>
        <v>2560694474</v>
      </c>
      <c r="S690" s="144" t="s">
        <v>56</v>
      </c>
      <c r="T690" s="151">
        <f t="shared" si="178"/>
        <v>0</v>
      </c>
      <c r="U690" s="27" t="str">
        <f t="shared" si="177"/>
        <v>SUBDIRECCION DE GESTION CONTRACTUAL</v>
      </c>
      <c r="V690" s="151" t="str">
        <f t="shared" si="184"/>
        <v>CO-DC</v>
      </c>
      <c r="W690" s="151" t="str">
        <f t="shared" si="185"/>
        <v>Distrito Capital de Bogotá</v>
      </c>
      <c r="X690" s="131" t="s">
        <v>829</v>
      </c>
      <c r="Y690" s="104">
        <v>2427400</v>
      </c>
      <c r="Z690" s="133" t="s">
        <v>830</v>
      </c>
    </row>
    <row r="691" spans="1:26" s="61" customFormat="1" ht="13.9" hidden="1" customHeight="1" x14ac:dyDescent="0.2">
      <c r="A691" s="171" t="s">
        <v>824</v>
      </c>
      <c r="B691" s="104">
        <v>10</v>
      </c>
      <c r="C691" s="134" t="s">
        <v>825</v>
      </c>
      <c r="D691" s="131" t="s">
        <v>826</v>
      </c>
      <c r="E691" s="132"/>
      <c r="F691" s="132">
        <v>1906418842</v>
      </c>
      <c r="G691" s="132"/>
      <c r="H691" s="131" t="s">
        <v>834</v>
      </c>
      <c r="I691" s="134" t="s">
        <v>840</v>
      </c>
      <c r="J691" s="104">
        <v>1</v>
      </c>
      <c r="K691" s="104">
        <v>1</v>
      </c>
      <c r="L691" s="104">
        <v>12</v>
      </c>
      <c r="M691" s="91">
        <f t="shared" si="176"/>
        <v>1</v>
      </c>
      <c r="N691" s="98" t="s">
        <v>64</v>
      </c>
      <c r="O691" s="99" t="s">
        <v>65</v>
      </c>
      <c r="P691" s="151">
        <f t="shared" si="186"/>
        <v>1</v>
      </c>
      <c r="Q691" s="101">
        <f t="shared" si="187"/>
        <v>1906418842</v>
      </c>
      <c r="R691" s="101">
        <f t="shared" si="188"/>
        <v>1906418842</v>
      </c>
      <c r="S691" s="144" t="s">
        <v>56</v>
      </c>
      <c r="T691" s="151">
        <f t="shared" si="178"/>
        <v>0</v>
      </c>
      <c r="U691" s="27" t="str">
        <f t="shared" si="177"/>
        <v>SUBDIRECCION DE GESTION CONTRACTUAL</v>
      </c>
      <c r="V691" s="151" t="str">
        <f t="shared" si="184"/>
        <v>CO-DC</v>
      </c>
      <c r="W691" s="151" t="str">
        <f t="shared" si="185"/>
        <v>Distrito Capital de Bogotá</v>
      </c>
      <c r="X691" s="131" t="s">
        <v>829</v>
      </c>
      <c r="Y691" s="104">
        <v>2427400</v>
      </c>
      <c r="Z691" s="133" t="s">
        <v>830</v>
      </c>
    </row>
    <row r="692" spans="1:26" s="61" customFormat="1" ht="13.9" hidden="1" customHeight="1" x14ac:dyDescent="0.2">
      <c r="A692" s="171" t="s">
        <v>824</v>
      </c>
      <c r="B692" s="104">
        <v>11</v>
      </c>
      <c r="C692" s="134" t="s">
        <v>825</v>
      </c>
      <c r="D692" s="131" t="s">
        <v>826</v>
      </c>
      <c r="E692" s="132"/>
      <c r="F692" s="132">
        <v>3484003648</v>
      </c>
      <c r="G692" s="132"/>
      <c r="H692" s="131" t="s">
        <v>827</v>
      </c>
      <c r="I692" s="134" t="s">
        <v>841</v>
      </c>
      <c r="J692" s="104">
        <v>1</v>
      </c>
      <c r="K692" s="104">
        <v>1</v>
      </c>
      <c r="L692" s="104">
        <v>12</v>
      </c>
      <c r="M692" s="91">
        <f t="shared" si="176"/>
        <v>1</v>
      </c>
      <c r="N692" s="98" t="s">
        <v>64</v>
      </c>
      <c r="O692" s="99" t="s">
        <v>65</v>
      </c>
      <c r="P692" s="151">
        <f t="shared" si="186"/>
        <v>1</v>
      </c>
      <c r="Q692" s="101">
        <f t="shared" si="187"/>
        <v>3484003648</v>
      </c>
      <c r="R692" s="101">
        <f t="shared" si="188"/>
        <v>3484003648</v>
      </c>
      <c r="S692" s="144" t="s">
        <v>56</v>
      </c>
      <c r="T692" s="151">
        <f t="shared" si="178"/>
        <v>0</v>
      </c>
      <c r="U692" s="27" t="str">
        <f t="shared" si="177"/>
        <v>SUBDIRECCION DE GESTION CONTRACTUAL</v>
      </c>
      <c r="V692" s="151" t="str">
        <f t="shared" si="184"/>
        <v>CO-DC</v>
      </c>
      <c r="W692" s="151" t="str">
        <f t="shared" si="185"/>
        <v>Distrito Capital de Bogotá</v>
      </c>
      <c r="X692" s="131" t="s">
        <v>829</v>
      </c>
      <c r="Y692" s="104">
        <v>2427400</v>
      </c>
      <c r="Z692" s="133" t="s">
        <v>830</v>
      </c>
    </row>
    <row r="693" spans="1:26" s="61" customFormat="1" ht="13.9" hidden="1" customHeight="1" x14ac:dyDescent="0.2">
      <c r="A693" s="171" t="s">
        <v>824</v>
      </c>
      <c r="B693" s="104">
        <v>12</v>
      </c>
      <c r="C693" s="134" t="s">
        <v>825</v>
      </c>
      <c r="D693" s="131" t="s">
        <v>826</v>
      </c>
      <c r="E693" s="132"/>
      <c r="F693" s="132">
        <v>1749472667</v>
      </c>
      <c r="G693" s="132"/>
      <c r="H693" s="131" t="s">
        <v>834</v>
      </c>
      <c r="I693" s="134" t="s">
        <v>842</v>
      </c>
      <c r="J693" s="104">
        <v>1</v>
      </c>
      <c r="K693" s="104">
        <v>1</v>
      </c>
      <c r="L693" s="104">
        <v>12</v>
      </c>
      <c r="M693" s="91">
        <f t="shared" si="176"/>
        <v>1</v>
      </c>
      <c r="N693" s="98" t="s">
        <v>64</v>
      </c>
      <c r="O693" s="99" t="s">
        <v>65</v>
      </c>
      <c r="P693" s="151">
        <f t="shared" si="186"/>
        <v>1</v>
      </c>
      <c r="Q693" s="101">
        <f t="shared" si="187"/>
        <v>1749472667</v>
      </c>
      <c r="R693" s="101">
        <f t="shared" si="188"/>
        <v>1749472667</v>
      </c>
      <c r="S693" s="144" t="s">
        <v>56</v>
      </c>
      <c r="T693" s="151">
        <f t="shared" si="178"/>
        <v>0</v>
      </c>
      <c r="U693" s="27" t="str">
        <f t="shared" si="177"/>
        <v>SUBDIRECCION DE GESTION CONTRACTUAL</v>
      </c>
      <c r="V693" s="151" t="str">
        <f t="shared" si="184"/>
        <v>CO-DC</v>
      </c>
      <c r="W693" s="151" t="str">
        <f t="shared" si="185"/>
        <v>Distrito Capital de Bogotá</v>
      </c>
      <c r="X693" s="131" t="s">
        <v>829</v>
      </c>
      <c r="Y693" s="104">
        <v>2427400</v>
      </c>
      <c r="Z693" s="133" t="s">
        <v>830</v>
      </c>
    </row>
    <row r="694" spans="1:26" s="61" customFormat="1" ht="13.9" hidden="1" customHeight="1" x14ac:dyDescent="0.2">
      <c r="A694" s="171" t="s">
        <v>824</v>
      </c>
      <c r="B694" s="104">
        <v>13</v>
      </c>
      <c r="C694" s="134" t="s">
        <v>825</v>
      </c>
      <c r="D694" s="131" t="s">
        <v>826</v>
      </c>
      <c r="E694" s="132"/>
      <c r="F694" s="132">
        <v>1600069165</v>
      </c>
      <c r="G694" s="132"/>
      <c r="H694" s="131" t="s">
        <v>834</v>
      </c>
      <c r="I694" s="134" t="s">
        <v>843</v>
      </c>
      <c r="J694" s="104">
        <v>1</v>
      </c>
      <c r="K694" s="104">
        <v>1</v>
      </c>
      <c r="L694" s="104">
        <v>12</v>
      </c>
      <c r="M694" s="91">
        <f t="shared" si="176"/>
        <v>1</v>
      </c>
      <c r="N694" s="98" t="s">
        <v>64</v>
      </c>
      <c r="O694" s="99" t="s">
        <v>65</v>
      </c>
      <c r="P694" s="151">
        <f t="shared" si="186"/>
        <v>1</v>
      </c>
      <c r="Q694" s="101">
        <f t="shared" si="187"/>
        <v>1600069165</v>
      </c>
      <c r="R694" s="101">
        <f t="shared" si="188"/>
        <v>1600069165</v>
      </c>
      <c r="S694" s="144" t="s">
        <v>56</v>
      </c>
      <c r="T694" s="151">
        <f t="shared" si="178"/>
        <v>0</v>
      </c>
      <c r="U694" s="27" t="str">
        <f t="shared" si="177"/>
        <v>SUBDIRECCION DE GESTION CONTRACTUAL</v>
      </c>
      <c r="V694" s="151" t="str">
        <f t="shared" si="184"/>
        <v>CO-DC</v>
      </c>
      <c r="W694" s="151" t="str">
        <f t="shared" si="185"/>
        <v>Distrito Capital de Bogotá</v>
      </c>
      <c r="X694" s="131" t="s">
        <v>829</v>
      </c>
      <c r="Y694" s="104">
        <v>2427400</v>
      </c>
      <c r="Z694" s="133" t="s">
        <v>830</v>
      </c>
    </row>
    <row r="695" spans="1:26" s="61" customFormat="1" ht="13.9" hidden="1" customHeight="1" x14ac:dyDescent="0.2">
      <c r="A695" s="171" t="s">
        <v>824</v>
      </c>
      <c r="B695" s="104">
        <v>14</v>
      </c>
      <c r="C695" s="134" t="s">
        <v>825</v>
      </c>
      <c r="D695" s="131" t="s">
        <v>826</v>
      </c>
      <c r="E695" s="132"/>
      <c r="F695" s="132">
        <v>1310662954</v>
      </c>
      <c r="G695" s="132"/>
      <c r="H695" s="131" t="s">
        <v>834</v>
      </c>
      <c r="I695" s="134" t="s">
        <v>844</v>
      </c>
      <c r="J695" s="104">
        <v>1</v>
      </c>
      <c r="K695" s="104">
        <v>1</v>
      </c>
      <c r="L695" s="104">
        <v>12</v>
      </c>
      <c r="M695" s="91">
        <f t="shared" si="176"/>
        <v>1</v>
      </c>
      <c r="N695" s="98" t="s">
        <v>64</v>
      </c>
      <c r="O695" s="99" t="s">
        <v>65</v>
      </c>
      <c r="P695" s="151">
        <f t="shared" si="186"/>
        <v>1</v>
      </c>
      <c r="Q695" s="101">
        <f t="shared" si="187"/>
        <v>1310662954</v>
      </c>
      <c r="R695" s="101">
        <f t="shared" si="188"/>
        <v>1310662954</v>
      </c>
      <c r="S695" s="144" t="s">
        <v>56</v>
      </c>
      <c r="T695" s="151">
        <f t="shared" si="178"/>
        <v>0</v>
      </c>
      <c r="U695" s="27" t="str">
        <f t="shared" si="177"/>
        <v>SUBDIRECCION DE GESTION CONTRACTUAL</v>
      </c>
      <c r="V695" s="151" t="str">
        <f t="shared" si="184"/>
        <v>CO-DC</v>
      </c>
      <c r="W695" s="151" t="str">
        <f t="shared" si="185"/>
        <v>Distrito Capital de Bogotá</v>
      </c>
      <c r="X695" s="131" t="s">
        <v>829</v>
      </c>
      <c r="Y695" s="104">
        <v>2427400</v>
      </c>
      <c r="Z695" s="133" t="s">
        <v>830</v>
      </c>
    </row>
    <row r="696" spans="1:26" s="61" customFormat="1" ht="13.9" hidden="1" customHeight="1" x14ac:dyDescent="0.2">
      <c r="A696" s="171" t="s">
        <v>824</v>
      </c>
      <c r="B696" s="104">
        <v>15</v>
      </c>
      <c r="C696" s="134" t="s">
        <v>825</v>
      </c>
      <c r="D696" s="131" t="s">
        <v>826</v>
      </c>
      <c r="E696" s="132"/>
      <c r="F696" s="132">
        <v>2553967515</v>
      </c>
      <c r="G696" s="132"/>
      <c r="H696" s="131" t="s">
        <v>834</v>
      </c>
      <c r="I696" s="134" t="s">
        <v>845</v>
      </c>
      <c r="J696" s="104">
        <v>1</v>
      </c>
      <c r="K696" s="104">
        <v>1</v>
      </c>
      <c r="L696" s="104">
        <v>12</v>
      </c>
      <c r="M696" s="91">
        <f t="shared" si="176"/>
        <v>1</v>
      </c>
      <c r="N696" s="98" t="s">
        <v>64</v>
      </c>
      <c r="O696" s="99" t="s">
        <v>65</v>
      </c>
      <c r="P696" s="151">
        <f t="shared" si="186"/>
        <v>1</v>
      </c>
      <c r="Q696" s="101">
        <f t="shared" si="187"/>
        <v>2553967515</v>
      </c>
      <c r="R696" s="101">
        <f t="shared" si="188"/>
        <v>2553967515</v>
      </c>
      <c r="S696" s="144" t="s">
        <v>56</v>
      </c>
      <c r="T696" s="151">
        <f t="shared" si="178"/>
        <v>0</v>
      </c>
      <c r="U696" s="27" t="str">
        <f t="shared" si="177"/>
        <v>SUBDIRECCION DE GESTION CONTRACTUAL</v>
      </c>
      <c r="V696" s="151" t="str">
        <f t="shared" si="184"/>
        <v>CO-DC</v>
      </c>
      <c r="W696" s="151" t="str">
        <f t="shared" si="185"/>
        <v>Distrito Capital de Bogotá</v>
      </c>
      <c r="X696" s="131" t="s">
        <v>829</v>
      </c>
      <c r="Y696" s="104">
        <v>2427400</v>
      </c>
      <c r="Z696" s="133" t="s">
        <v>830</v>
      </c>
    </row>
    <row r="697" spans="1:26" s="61" customFormat="1" ht="13.9" hidden="1" customHeight="1" x14ac:dyDescent="0.2">
      <c r="A697" s="171" t="s">
        <v>824</v>
      </c>
      <c r="B697" s="104">
        <v>16</v>
      </c>
      <c r="C697" s="134" t="s">
        <v>825</v>
      </c>
      <c r="D697" s="131" t="s">
        <v>826</v>
      </c>
      <c r="E697" s="132"/>
      <c r="F697" s="132">
        <v>2544687516</v>
      </c>
      <c r="G697" s="132"/>
      <c r="H697" s="131" t="s">
        <v>834</v>
      </c>
      <c r="I697" s="134" t="s">
        <v>846</v>
      </c>
      <c r="J697" s="104">
        <v>1</v>
      </c>
      <c r="K697" s="104">
        <v>1</v>
      </c>
      <c r="L697" s="104">
        <v>12</v>
      </c>
      <c r="M697" s="91">
        <f t="shared" si="176"/>
        <v>1</v>
      </c>
      <c r="N697" s="98" t="s">
        <v>64</v>
      </c>
      <c r="O697" s="99" t="s">
        <v>65</v>
      </c>
      <c r="P697" s="151">
        <f t="shared" si="186"/>
        <v>1</v>
      </c>
      <c r="Q697" s="101">
        <f t="shared" si="187"/>
        <v>2544687516</v>
      </c>
      <c r="R697" s="101">
        <f t="shared" si="188"/>
        <v>2544687516</v>
      </c>
      <c r="S697" s="144" t="s">
        <v>56</v>
      </c>
      <c r="T697" s="151">
        <f t="shared" si="178"/>
        <v>0</v>
      </c>
      <c r="U697" s="27" t="str">
        <f t="shared" si="177"/>
        <v>SUBDIRECCION DE GESTION CONTRACTUAL</v>
      </c>
      <c r="V697" s="151" t="str">
        <f t="shared" si="184"/>
        <v>CO-DC</v>
      </c>
      <c r="W697" s="151" t="str">
        <f t="shared" si="185"/>
        <v>Distrito Capital de Bogotá</v>
      </c>
      <c r="X697" s="131" t="s">
        <v>829</v>
      </c>
      <c r="Y697" s="104">
        <v>2427400</v>
      </c>
      <c r="Z697" s="133" t="s">
        <v>830</v>
      </c>
    </row>
    <row r="698" spans="1:26" s="61" customFormat="1" ht="13.9" hidden="1" customHeight="1" x14ac:dyDescent="0.2">
      <c r="A698" s="171" t="s">
        <v>824</v>
      </c>
      <c r="B698" s="104">
        <v>17</v>
      </c>
      <c r="C698" s="134" t="s">
        <v>825</v>
      </c>
      <c r="D698" s="131" t="s">
        <v>826</v>
      </c>
      <c r="E698" s="132"/>
      <c r="F698" s="132">
        <v>1310662954</v>
      </c>
      <c r="G698" s="132"/>
      <c r="H698" s="131" t="s">
        <v>834</v>
      </c>
      <c r="I698" s="134" t="s">
        <v>847</v>
      </c>
      <c r="J698" s="104">
        <v>1</v>
      </c>
      <c r="K698" s="104">
        <v>1</v>
      </c>
      <c r="L698" s="104">
        <v>12</v>
      </c>
      <c r="M698" s="91">
        <f t="shared" ref="M698:M729" si="189">IF(ISBLANK(J698),"",1)</f>
        <v>1</v>
      </c>
      <c r="N698" s="98" t="s">
        <v>64</v>
      </c>
      <c r="O698" s="99" t="s">
        <v>65</v>
      </c>
      <c r="P698" s="151">
        <f t="shared" si="186"/>
        <v>1</v>
      </c>
      <c r="Q698" s="101">
        <f t="shared" si="187"/>
        <v>1310662954</v>
      </c>
      <c r="R698" s="101">
        <f t="shared" si="188"/>
        <v>1310662954</v>
      </c>
      <c r="S698" s="144" t="s">
        <v>56</v>
      </c>
      <c r="T698" s="151">
        <f t="shared" si="178"/>
        <v>0</v>
      </c>
      <c r="U698" s="27" t="str">
        <f t="shared" ref="U698:U729" si="190">IF(ISBLANK(N698),"","SUBDIRECCION DE GESTION CONTRACTUAL")</f>
        <v>SUBDIRECCION DE GESTION CONTRACTUAL</v>
      </c>
      <c r="V698" s="151" t="str">
        <f t="shared" si="184"/>
        <v>CO-DC</v>
      </c>
      <c r="W698" s="151" t="str">
        <f t="shared" si="185"/>
        <v>Distrito Capital de Bogotá</v>
      </c>
      <c r="X698" s="131" t="s">
        <v>829</v>
      </c>
      <c r="Y698" s="104">
        <v>2427400</v>
      </c>
      <c r="Z698" s="133" t="s">
        <v>830</v>
      </c>
    </row>
    <row r="699" spans="1:26" s="61" customFormat="1" ht="13.9" hidden="1" customHeight="1" x14ac:dyDescent="0.2">
      <c r="A699" s="171" t="s">
        <v>824</v>
      </c>
      <c r="B699" s="104">
        <v>18</v>
      </c>
      <c r="C699" s="134" t="s">
        <v>825</v>
      </c>
      <c r="D699" s="131" t="s">
        <v>826</v>
      </c>
      <c r="E699" s="132"/>
      <c r="F699" s="132">
        <v>305440000</v>
      </c>
      <c r="G699" s="132"/>
      <c r="H699" s="131" t="s">
        <v>834</v>
      </c>
      <c r="I699" s="134" t="s">
        <v>848</v>
      </c>
      <c r="J699" s="104">
        <v>1</v>
      </c>
      <c r="K699" s="104">
        <v>1</v>
      </c>
      <c r="L699" s="104">
        <v>12</v>
      </c>
      <c r="M699" s="91">
        <f t="shared" si="189"/>
        <v>1</v>
      </c>
      <c r="N699" s="98" t="s">
        <v>64</v>
      </c>
      <c r="O699" s="99" t="s">
        <v>65</v>
      </c>
      <c r="P699" s="151">
        <f t="shared" si="186"/>
        <v>1</v>
      </c>
      <c r="Q699" s="101">
        <f t="shared" si="187"/>
        <v>305440000</v>
      </c>
      <c r="R699" s="101">
        <f t="shared" si="188"/>
        <v>305440000</v>
      </c>
      <c r="S699" s="144" t="s">
        <v>56</v>
      </c>
      <c r="T699" s="151">
        <f t="shared" ref="T699:T730" si="191">IF(ISBLANK(S699),"",IF(VALUE(S699)=0,0,IF(VALUE(S699)=1,3,"")))</f>
        <v>0</v>
      </c>
      <c r="U699" s="27" t="str">
        <f t="shared" si="190"/>
        <v>SUBDIRECCION DE GESTION CONTRACTUAL</v>
      </c>
      <c r="V699" s="151" t="str">
        <f t="shared" si="184"/>
        <v>CO-DC</v>
      </c>
      <c r="W699" s="151" t="str">
        <f t="shared" si="185"/>
        <v>Distrito Capital de Bogotá</v>
      </c>
      <c r="X699" s="131" t="s">
        <v>829</v>
      </c>
      <c r="Y699" s="104">
        <v>2427400</v>
      </c>
      <c r="Z699" s="133" t="s">
        <v>830</v>
      </c>
    </row>
    <row r="700" spans="1:26" s="61" customFormat="1" ht="13.9" hidden="1" customHeight="1" x14ac:dyDescent="0.2">
      <c r="A700" s="171" t="s">
        <v>824</v>
      </c>
      <c r="B700" s="104">
        <v>19</v>
      </c>
      <c r="C700" s="134" t="s">
        <v>825</v>
      </c>
      <c r="D700" s="131" t="s">
        <v>826</v>
      </c>
      <c r="E700" s="132"/>
      <c r="F700" s="132">
        <v>1988398580</v>
      </c>
      <c r="G700" s="132"/>
      <c r="H700" s="131" t="s">
        <v>827</v>
      </c>
      <c r="I700" s="134" t="s">
        <v>849</v>
      </c>
      <c r="J700" s="104">
        <v>1</v>
      </c>
      <c r="K700" s="104">
        <v>1</v>
      </c>
      <c r="L700" s="104">
        <v>12</v>
      </c>
      <c r="M700" s="91">
        <f t="shared" si="189"/>
        <v>1</v>
      </c>
      <c r="N700" s="98" t="s">
        <v>64</v>
      </c>
      <c r="O700" s="99" t="s">
        <v>65</v>
      </c>
      <c r="P700" s="151">
        <f t="shared" si="186"/>
        <v>1</v>
      </c>
      <c r="Q700" s="101">
        <f t="shared" si="187"/>
        <v>1988398580</v>
      </c>
      <c r="R700" s="101">
        <f t="shared" si="188"/>
        <v>1988398580</v>
      </c>
      <c r="S700" s="144" t="s">
        <v>56</v>
      </c>
      <c r="T700" s="151">
        <f t="shared" si="191"/>
        <v>0</v>
      </c>
      <c r="U700" s="27" t="str">
        <f t="shared" si="190"/>
        <v>SUBDIRECCION DE GESTION CONTRACTUAL</v>
      </c>
      <c r="V700" s="151" t="str">
        <f t="shared" si="184"/>
        <v>CO-DC</v>
      </c>
      <c r="W700" s="151" t="str">
        <f t="shared" si="185"/>
        <v>Distrito Capital de Bogotá</v>
      </c>
      <c r="X700" s="131" t="s">
        <v>829</v>
      </c>
      <c r="Y700" s="104">
        <v>2427400</v>
      </c>
      <c r="Z700" s="133" t="s">
        <v>830</v>
      </c>
    </row>
    <row r="701" spans="1:26" s="61" customFormat="1" ht="13.9" hidden="1" customHeight="1" x14ac:dyDescent="0.2">
      <c r="A701" s="171" t="s">
        <v>824</v>
      </c>
      <c r="B701" s="104">
        <v>20</v>
      </c>
      <c r="C701" s="134" t="s">
        <v>825</v>
      </c>
      <c r="D701" s="131" t="s">
        <v>826</v>
      </c>
      <c r="E701" s="132"/>
      <c r="F701" s="132">
        <v>397679715</v>
      </c>
      <c r="G701" s="132"/>
      <c r="H701" s="131" t="s">
        <v>827</v>
      </c>
      <c r="I701" s="134" t="s">
        <v>849</v>
      </c>
      <c r="J701" s="104">
        <v>1</v>
      </c>
      <c r="K701" s="104">
        <v>1</v>
      </c>
      <c r="L701" s="104">
        <v>12</v>
      </c>
      <c r="M701" s="91">
        <f t="shared" si="189"/>
        <v>1</v>
      </c>
      <c r="N701" s="98" t="s">
        <v>64</v>
      </c>
      <c r="O701" s="99" t="s">
        <v>65</v>
      </c>
      <c r="P701" s="151">
        <f t="shared" si="186"/>
        <v>1</v>
      </c>
      <c r="Q701" s="101">
        <f t="shared" si="187"/>
        <v>397679715</v>
      </c>
      <c r="R701" s="101">
        <f t="shared" si="188"/>
        <v>397679715</v>
      </c>
      <c r="S701" s="144" t="s">
        <v>56</v>
      </c>
      <c r="T701" s="151">
        <f t="shared" si="191"/>
        <v>0</v>
      </c>
      <c r="U701" s="27" t="str">
        <f t="shared" si="190"/>
        <v>SUBDIRECCION DE GESTION CONTRACTUAL</v>
      </c>
      <c r="V701" s="151" t="str">
        <f t="shared" si="184"/>
        <v>CO-DC</v>
      </c>
      <c r="W701" s="151" t="str">
        <f t="shared" si="185"/>
        <v>Distrito Capital de Bogotá</v>
      </c>
      <c r="X701" s="131" t="s">
        <v>829</v>
      </c>
      <c r="Y701" s="104">
        <v>2427400</v>
      </c>
      <c r="Z701" s="133" t="s">
        <v>830</v>
      </c>
    </row>
    <row r="702" spans="1:26" s="61" customFormat="1" ht="13.9" hidden="1" customHeight="1" x14ac:dyDescent="0.2">
      <c r="A702" s="171" t="s">
        <v>824</v>
      </c>
      <c r="B702" s="104">
        <v>21</v>
      </c>
      <c r="C702" s="134" t="s">
        <v>825</v>
      </c>
      <c r="D702" s="131" t="s">
        <v>826</v>
      </c>
      <c r="E702" s="132"/>
      <c r="F702" s="132">
        <v>250000000</v>
      </c>
      <c r="G702" s="132"/>
      <c r="H702" s="131" t="s">
        <v>834</v>
      </c>
      <c r="I702" s="134" t="s">
        <v>850</v>
      </c>
      <c r="J702" s="104">
        <v>1</v>
      </c>
      <c r="K702" s="104">
        <v>1</v>
      </c>
      <c r="L702" s="104">
        <v>12</v>
      </c>
      <c r="M702" s="91">
        <f t="shared" si="189"/>
        <v>1</v>
      </c>
      <c r="N702" s="98" t="s">
        <v>64</v>
      </c>
      <c r="O702" s="99" t="s">
        <v>65</v>
      </c>
      <c r="P702" s="151">
        <f t="shared" si="186"/>
        <v>1</v>
      </c>
      <c r="Q702" s="101">
        <f t="shared" si="187"/>
        <v>250000000</v>
      </c>
      <c r="R702" s="101">
        <f t="shared" si="188"/>
        <v>250000000</v>
      </c>
      <c r="S702" s="144" t="s">
        <v>56</v>
      </c>
      <c r="T702" s="151">
        <f t="shared" si="191"/>
        <v>0</v>
      </c>
      <c r="U702" s="27" t="str">
        <f t="shared" si="190"/>
        <v>SUBDIRECCION DE GESTION CONTRACTUAL</v>
      </c>
      <c r="V702" s="151" t="str">
        <f t="shared" si="184"/>
        <v>CO-DC</v>
      </c>
      <c r="W702" s="151" t="str">
        <f t="shared" si="185"/>
        <v>Distrito Capital de Bogotá</v>
      </c>
      <c r="X702" s="131" t="s">
        <v>829</v>
      </c>
      <c r="Y702" s="104">
        <v>2427400</v>
      </c>
      <c r="Z702" s="133" t="s">
        <v>830</v>
      </c>
    </row>
    <row r="703" spans="1:26" s="61" customFormat="1" ht="13.9" hidden="1" customHeight="1" x14ac:dyDescent="0.2">
      <c r="A703" s="171" t="s">
        <v>824</v>
      </c>
      <c r="B703" s="104">
        <v>22</v>
      </c>
      <c r="C703" s="134" t="s">
        <v>825</v>
      </c>
      <c r="D703" s="131" t="s">
        <v>826</v>
      </c>
      <c r="E703" s="132"/>
      <c r="F703" s="132">
        <v>250000000</v>
      </c>
      <c r="G703" s="132"/>
      <c r="H703" s="131" t="s">
        <v>834</v>
      </c>
      <c r="I703" s="134" t="s">
        <v>851</v>
      </c>
      <c r="J703" s="104">
        <v>1</v>
      </c>
      <c r="K703" s="104">
        <v>1</v>
      </c>
      <c r="L703" s="104">
        <v>12</v>
      </c>
      <c r="M703" s="91">
        <f t="shared" si="189"/>
        <v>1</v>
      </c>
      <c r="N703" s="98" t="s">
        <v>64</v>
      </c>
      <c r="O703" s="99" t="s">
        <v>65</v>
      </c>
      <c r="P703" s="151">
        <f t="shared" si="186"/>
        <v>1</v>
      </c>
      <c r="Q703" s="101">
        <f t="shared" si="187"/>
        <v>250000000</v>
      </c>
      <c r="R703" s="101">
        <f t="shared" si="188"/>
        <v>250000000</v>
      </c>
      <c r="S703" s="144" t="s">
        <v>56</v>
      </c>
      <c r="T703" s="151">
        <f t="shared" si="191"/>
        <v>0</v>
      </c>
      <c r="U703" s="27" t="str">
        <f t="shared" si="190"/>
        <v>SUBDIRECCION DE GESTION CONTRACTUAL</v>
      </c>
      <c r="V703" s="151" t="str">
        <f t="shared" si="184"/>
        <v>CO-DC</v>
      </c>
      <c r="W703" s="151" t="str">
        <f t="shared" si="185"/>
        <v>Distrito Capital de Bogotá</v>
      </c>
      <c r="X703" s="131" t="s">
        <v>829</v>
      </c>
      <c r="Y703" s="104">
        <v>2427400</v>
      </c>
      <c r="Z703" s="133" t="s">
        <v>830</v>
      </c>
    </row>
    <row r="704" spans="1:26" s="61" customFormat="1" ht="13.9" hidden="1" customHeight="1" x14ac:dyDescent="0.2">
      <c r="A704" s="171" t="s">
        <v>824</v>
      </c>
      <c r="B704" s="104">
        <v>23</v>
      </c>
      <c r="C704" s="134" t="s">
        <v>825</v>
      </c>
      <c r="D704" s="131" t="s">
        <v>826</v>
      </c>
      <c r="E704" s="132"/>
      <c r="F704" s="132">
        <v>196577560</v>
      </c>
      <c r="G704" s="132"/>
      <c r="H704" s="131" t="s">
        <v>834</v>
      </c>
      <c r="I704" s="134" t="s">
        <v>852</v>
      </c>
      <c r="J704" s="104">
        <v>1</v>
      </c>
      <c r="K704" s="104">
        <v>1</v>
      </c>
      <c r="L704" s="104">
        <v>12</v>
      </c>
      <c r="M704" s="91">
        <f t="shared" si="189"/>
        <v>1</v>
      </c>
      <c r="N704" s="98" t="s">
        <v>64</v>
      </c>
      <c r="O704" s="99" t="s">
        <v>65</v>
      </c>
      <c r="P704" s="151">
        <f t="shared" si="186"/>
        <v>1</v>
      </c>
      <c r="Q704" s="101">
        <f t="shared" si="187"/>
        <v>196577560</v>
      </c>
      <c r="R704" s="101">
        <f t="shared" si="188"/>
        <v>196577560</v>
      </c>
      <c r="S704" s="144" t="s">
        <v>56</v>
      </c>
      <c r="T704" s="151">
        <f t="shared" si="191"/>
        <v>0</v>
      </c>
      <c r="U704" s="27" t="str">
        <f t="shared" si="190"/>
        <v>SUBDIRECCION DE GESTION CONTRACTUAL</v>
      </c>
      <c r="V704" s="151" t="str">
        <f t="shared" si="184"/>
        <v>CO-DC</v>
      </c>
      <c r="W704" s="151" t="str">
        <f t="shared" si="185"/>
        <v>Distrito Capital de Bogotá</v>
      </c>
      <c r="X704" s="131" t="s">
        <v>829</v>
      </c>
      <c r="Y704" s="104">
        <v>2427400</v>
      </c>
      <c r="Z704" s="133" t="s">
        <v>830</v>
      </c>
    </row>
    <row r="705" spans="1:26" s="61" customFormat="1" ht="13.9" hidden="1" customHeight="1" x14ac:dyDescent="0.2">
      <c r="A705" s="171" t="s">
        <v>824</v>
      </c>
      <c r="B705" s="104">
        <v>24</v>
      </c>
      <c r="C705" s="134" t="s">
        <v>825</v>
      </c>
      <c r="D705" s="131" t="s">
        <v>826</v>
      </c>
      <c r="E705" s="132"/>
      <c r="F705" s="132">
        <v>205000000</v>
      </c>
      <c r="G705" s="132"/>
      <c r="H705" s="131" t="s">
        <v>834</v>
      </c>
      <c r="I705" s="134" t="s">
        <v>853</v>
      </c>
      <c r="J705" s="104">
        <v>1</v>
      </c>
      <c r="K705" s="104">
        <v>1</v>
      </c>
      <c r="L705" s="104">
        <v>12</v>
      </c>
      <c r="M705" s="91">
        <f t="shared" si="189"/>
        <v>1</v>
      </c>
      <c r="N705" s="98" t="s">
        <v>64</v>
      </c>
      <c r="O705" s="99" t="s">
        <v>65</v>
      </c>
      <c r="P705" s="151">
        <f t="shared" si="186"/>
        <v>1</v>
      </c>
      <c r="Q705" s="101">
        <f t="shared" si="187"/>
        <v>205000000</v>
      </c>
      <c r="R705" s="101">
        <f t="shared" si="188"/>
        <v>205000000</v>
      </c>
      <c r="S705" s="144" t="s">
        <v>56</v>
      </c>
      <c r="T705" s="151">
        <f t="shared" si="191"/>
        <v>0</v>
      </c>
      <c r="U705" s="27" t="str">
        <f t="shared" si="190"/>
        <v>SUBDIRECCION DE GESTION CONTRACTUAL</v>
      </c>
      <c r="V705" s="151" t="str">
        <f t="shared" si="184"/>
        <v>CO-DC</v>
      </c>
      <c r="W705" s="151" t="str">
        <f t="shared" si="185"/>
        <v>Distrito Capital de Bogotá</v>
      </c>
      <c r="X705" s="131" t="s">
        <v>829</v>
      </c>
      <c r="Y705" s="104">
        <v>2427400</v>
      </c>
      <c r="Z705" s="133" t="s">
        <v>830</v>
      </c>
    </row>
    <row r="706" spans="1:26" s="61" customFormat="1" ht="13.9" hidden="1" customHeight="1" x14ac:dyDescent="0.2">
      <c r="A706" s="171" t="s">
        <v>824</v>
      </c>
      <c r="B706" s="104">
        <v>25</v>
      </c>
      <c r="C706" s="134" t="s">
        <v>825</v>
      </c>
      <c r="D706" s="131" t="s">
        <v>826</v>
      </c>
      <c r="E706" s="132"/>
      <c r="F706" s="132">
        <v>205000000</v>
      </c>
      <c r="G706" s="132"/>
      <c r="H706" s="131" t="s">
        <v>834</v>
      </c>
      <c r="I706" s="134" t="s">
        <v>854</v>
      </c>
      <c r="J706" s="104">
        <v>1</v>
      </c>
      <c r="K706" s="104">
        <v>1</v>
      </c>
      <c r="L706" s="104">
        <v>12</v>
      </c>
      <c r="M706" s="91">
        <f t="shared" si="189"/>
        <v>1</v>
      </c>
      <c r="N706" s="98" t="s">
        <v>64</v>
      </c>
      <c r="O706" s="99" t="s">
        <v>65</v>
      </c>
      <c r="P706" s="151">
        <f t="shared" si="186"/>
        <v>1</v>
      </c>
      <c r="Q706" s="101">
        <f t="shared" si="187"/>
        <v>205000000</v>
      </c>
      <c r="R706" s="101">
        <f t="shared" si="188"/>
        <v>205000000</v>
      </c>
      <c r="S706" s="144" t="s">
        <v>56</v>
      </c>
      <c r="T706" s="151">
        <f t="shared" si="191"/>
        <v>0</v>
      </c>
      <c r="U706" s="27" t="str">
        <f t="shared" si="190"/>
        <v>SUBDIRECCION DE GESTION CONTRACTUAL</v>
      </c>
      <c r="V706" s="151" t="str">
        <f t="shared" si="184"/>
        <v>CO-DC</v>
      </c>
      <c r="W706" s="151" t="str">
        <f t="shared" si="185"/>
        <v>Distrito Capital de Bogotá</v>
      </c>
      <c r="X706" s="131" t="s">
        <v>829</v>
      </c>
      <c r="Y706" s="104">
        <v>2427400</v>
      </c>
      <c r="Z706" s="133" t="s">
        <v>830</v>
      </c>
    </row>
    <row r="707" spans="1:26" s="61" customFormat="1" ht="13.9" hidden="1" customHeight="1" x14ac:dyDescent="0.2">
      <c r="A707" s="171" t="s">
        <v>824</v>
      </c>
      <c r="B707" s="104">
        <v>26</v>
      </c>
      <c r="C707" s="134" t="s">
        <v>825</v>
      </c>
      <c r="D707" s="131" t="s">
        <v>826</v>
      </c>
      <c r="E707" s="132"/>
      <c r="F707" s="132">
        <v>250000000</v>
      </c>
      <c r="G707" s="132"/>
      <c r="H707" s="131" t="s">
        <v>834</v>
      </c>
      <c r="I707" s="134" t="s">
        <v>855</v>
      </c>
      <c r="J707" s="104">
        <v>1</v>
      </c>
      <c r="K707" s="104">
        <v>1</v>
      </c>
      <c r="L707" s="104">
        <v>12</v>
      </c>
      <c r="M707" s="91">
        <f t="shared" si="189"/>
        <v>1</v>
      </c>
      <c r="N707" s="98" t="s">
        <v>64</v>
      </c>
      <c r="O707" s="99" t="s">
        <v>65</v>
      </c>
      <c r="P707" s="151">
        <f t="shared" si="186"/>
        <v>1</v>
      </c>
      <c r="Q707" s="101">
        <f t="shared" si="187"/>
        <v>250000000</v>
      </c>
      <c r="R707" s="101">
        <f t="shared" si="188"/>
        <v>250000000</v>
      </c>
      <c r="S707" s="144" t="s">
        <v>56</v>
      </c>
      <c r="T707" s="151">
        <f t="shared" si="191"/>
        <v>0</v>
      </c>
      <c r="U707" s="27" t="str">
        <f t="shared" si="190"/>
        <v>SUBDIRECCION DE GESTION CONTRACTUAL</v>
      </c>
      <c r="V707" s="151" t="str">
        <f t="shared" si="184"/>
        <v>CO-DC</v>
      </c>
      <c r="W707" s="151" t="str">
        <f t="shared" si="185"/>
        <v>Distrito Capital de Bogotá</v>
      </c>
      <c r="X707" s="131" t="s">
        <v>829</v>
      </c>
      <c r="Y707" s="104">
        <v>2427400</v>
      </c>
      <c r="Z707" s="133" t="s">
        <v>830</v>
      </c>
    </row>
    <row r="708" spans="1:26" s="61" customFormat="1" ht="13.9" hidden="1" customHeight="1" x14ac:dyDescent="0.2">
      <c r="A708" s="171" t="s">
        <v>824</v>
      </c>
      <c r="B708" s="104">
        <v>27</v>
      </c>
      <c r="C708" s="134" t="s">
        <v>825</v>
      </c>
      <c r="D708" s="131" t="s">
        <v>826</v>
      </c>
      <c r="E708" s="132"/>
      <c r="F708" s="132">
        <v>605370738</v>
      </c>
      <c r="G708" s="132"/>
      <c r="H708" s="131" t="s">
        <v>827</v>
      </c>
      <c r="I708" s="134" t="s">
        <v>856</v>
      </c>
      <c r="J708" s="104">
        <v>1</v>
      </c>
      <c r="K708" s="104">
        <v>1</v>
      </c>
      <c r="L708" s="104">
        <v>12</v>
      </c>
      <c r="M708" s="91">
        <f t="shared" si="189"/>
        <v>1</v>
      </c>
      <c r="N708" s="98" t="s">
        <v>64</v>
      </c>
      <c r="O708" s="99" t="s">
        <v>65</v>
      </c>
      <c r="P708" s="151">
        <f t="shared" si="186"/>
        <v>1</v>
      </c>
      <c r="Q708" s="101">
        <f t="shared" si="187"/>
        <v>605370738</v>
      </c>
      <c r="R708" s="101">
        <f t="shared" si="188"/>
        <v>605370738</v>
      </c>
      <c r="S708" s="144" t="s">
        <v>56</v>
      </c>
      <c r="T708" s="151">
        <f t="shared" si="191"/>
        <v>0</v>
      </c>
      <c r="U708" s="27" t="str">
        <f t="shared" si="190"/>
        <v>SUBDIRECCION DE GESTION CONTRACTUAL</v>
      </c>
      <c r="V708" s="151" t="str">
        <f t="shared" si="184"/>
        <v>CO-DC</v>
      </c>
      <c r="W708" s="151" t="str">
        <f t="shared" si="185"/>
        <v>Distrito Capital de Bogotá</v>
      </c>
      <c r="X708" s="131" t="s">
        <v>829</v>
      </c>
      <c r="Y708" s="104">
        <v>2427400</v>
      </c>
      <c r="Z708" s="133" t="s">
        <v>830</v>
      </c>
    </row>
    <row r="709" spans="1:26" s="61" customFormat="1" ht="13.9" hidden="1" customHeight="1" x14ac:dyDescent="0.2">
      <c r="A709" s="171" t="s">
        <v>824</v>
      </c>
      <c r="B709" s="104">
        <v>28</v>
      </c>
      <c r="C709" s="134" t="s">
        <v>825</v>
      </c>
      <c r="D709" s="131" t="s">
        <v>826</v>
      </c>
      <c r="E709" s="132"/>
      <c r="F709" s="132">
        <v>1025000000</v>
      </c>
      <c r="G709" s="132"/>
      <c r="H709" s="131" t="s">
        <v>834</v>
      </c>
      <c r="I709" s="134" t="s">
        <v>857</v>
      </c>
      <c r="J709" s="104">
        <v>1</v>
      </c>
      <c r="K709" s="104">
        <v>1</v>
      </c>
      <c r="L709" s="104">
        <v>12</v>
      </c>
      <c r="M709" s="91">
        <f t="shared" si="189"/>
        <v>1</v>
      </c>
      <c r="N709" s="98" t="s">
        <v>64</v>
      </c>
      <c r="O709" s="99" t="s">
        <v>65</v>
      </c>
      <c r="P709" s="151">
        <f t="shared" si="186"/>
        <v>1</v>
      </c>
      <c r="Q709" s="101">
        <f t="shared" si="187"/>
        <v>1025000000</v>
      </c>
      <c r="R709" s="101">
        <f t="shared" si="188"/>
        <v>1025000000</v>
      </c>
      <c r="S709" s="144" t="s">
        <v>56</v>
      </c>
      <c r="T709" s="151">
        <f t="shared" si="191"/>
        <v>0</v>
      </c>
      <c r="U709" s="27" t="str">
        <f t="shared" si="190"/>
        <v>SUBDIRECCION DE GESTION CONTRACTUAL</v>
      </c>
      <c r="V709" s="151" t="str">
        <f t="shared" si="184"/>
        <v>CO-DC</v>
      </c>
      <c r="W709" s="151" t="str">
        <f t="shared" si="185"/>
        <v>Distrito Capital de Bogotá</v>
      </c>
      <c r="X709" s="131" t="s">
        <v>829</v>
      </c>
      <c r="Y709" s="104">
        <v>2427400</v>
      </c>
      <c r="Z709" s="133" t="s">
        <v>830</v>
      </c>
    </row>
    <row r="710" spans="1:26" s="61" customFormat="1" ht="13.9" hidden="1" customHeight="1" x14ac:dyDescent="0.2">
      <c r="A710" s="171" t="s">
        <v>824</v>
      </c>
      <c r="B710" s="104">
        <v>29</v>
      </c>
      <c r="C710" s="134" t="s">
        <v>825</v>
      </c>
      <c r="D710" s="131" t="s">
        <v>826</v>
      </c>
      <c r="E710" s="132"/>
      <c r="F710" s="132">
        <v>305440000</v>
      </c>
      <c r="G710" s="132"/>
      <c r="H710" s="131" t="s">
        <v>834</v>
      </c>
      <c r="I710" s="134" t="s">
        <v>858</v>
      </c>
      <c r="J710" s="104">
        <v>1</v>
      </c>
      <c r="K710" s="104">
        <v>1</v>
      </c>
      <c r="L710" s="104">
        <v>12</v>
      </c>
      <c r="M710" s="91">
        <f t="shared" si="189"/>
        <v>1</v>
      </c>
      <c r="N710" s="98" t="s">
        <v>64</v>
      </c>
      <c r="O710" s="99" t="s">
        <v>65</v>
      </c>
      <c r="P710" s="151">
        <f t="shared" si="186"/>
        <v>1</v>
      </c>
      <c r="Q710" s="101">
        <f t="shared" si="187"/>
        <v>305440000</v>
      </c>
      <c r="R710" s="101">
        <f t="shared" si="188"/>
        <v>305440000</v>
      </c>
      <c r="S710" s="144" t="s">
        <v>56</v>
      </c>
      <c r="T710" s="151">
        <f t="shared" si="191"/>
        <v>0</v>
      </c>
      <c r="U710" s="27" t="str">
        <f t="shared" si="190"/>
        <v>SUBDIRECCION DE GESTION CONTRACTUAL</v>
      </c>
      <c r="V710" s="151" t="str">
        <f t="shared" si="184"/>
        <v>CO-DC</v>
      </c>
      <c r="W710" s="151" t="str">
        <f t="shared" si="185"/>
        <v>Distrito Capital de Bogotá</v>
      </c>
      <c r="X710" s="131" t="s">
        <v>829</v>
      </c>
      <c r="Y710" s="104">
        <v>2427400</v>
      </c>
      <c r="Z710" s="133" t="s">
        <v>830</v>
      </c>
    </row>
    <row r="711" spans="1:26" s="61" customFormat="1" ht="13.9" hidden="1" customHeight="1" x14ac:dyDescent="0.2">
      <c r="A711" s="171" t="s">
        <v>824</v>
      </c>
      <c r="B711" s="104">
        <v>30</v>
      </c>
      <c r="C711" s="134" t="s">
        <v>825</v>
      </c>
      <c r="D711" s="131" t="s">
        <v>826</v>
      </c>
      <c r="E711" s="132"/>
      <c r="F711" s="132">
        <v>294400000</v>
      </c>
      <c r="G711" s="132"/>
      <c r="H711" s="131" t="s">
        <v>834</v>
      </c>
      <c r="I711" s="134" t="s">
        <v>859</v>
      </c>
      <c r="J711" s="104">
        <v>1</v>
      </c>
      <c r="K711" s="104">
        <v>1</v>
      </c>
      <c r="L711" s="104">
        <v>12</v>
      </c>
      <c r="M711" s="91">
        <f t="shared" si="189"/>
        <v>1</v>
      </c>
      <c r="N711" s="98" t="s">
        <v>64</v>
      </c>
      <c r="O711" s="99" t="s">
        <v>65</v>
      </c>
      <c r="P711" s="151">
        <f t="shared" si="186"/>
        <v>1</v>
      </c>
      <c r="Q711" s="101">
        <f t="shared" si="187"/>
        <v>294400000</v>
      </c>
      <c r="R711" s="101">
        <f t="shared" si="188"/>
        <v>294400000</v>
      </c>
      <c r="S711" s="144" t="s">
        <v>56</v>
      </c>
      <c r="T711" s="151">
        <f t="shared" si="191"/>
        <v>0</v>
      </c>
      <c r="U711" s="27" t="str">
        <f t="shared" si="190"/>
        <v>SUBDIRECCION DE GESTION CONTRACTUAL</v>
      </c>
      <c r="V711" s="151" t="str">
        <f t="shared" si="184"/>
        <v>CO-DC</v>
      </c>
      <c r="W711" s="151" t="str">
        <f t="shared" si="185"/>
        <v>Distrito Capital de Bogotá</v>
      </c>
      <c r="X711" s="131" t="s">
        <v>829</v>
      </c>
      <c r="Y711" s="104">
        <v>2427400</v>
      </c>
      <c r="Z711" s="133" t="s">
        <v>830</v>
      </c>
    </row>
    <row r="712" spans="1:26" s="61" customFormat="1" ht="13.9" hidden="1" customHeight="1" x14ac:dyDescent="0.2">
      <c r="A712" s="171" t="s">
        <v>824</v>
      </c>
      <c r="B712" s="104">
        <v>31</v>
      </c>
      <c r="C712" s="134" t="s">
        <v>825</v>
      </c>
      <c r="D712" s="131" t="s">
        <v>826</v>
      </c>
      <c r="E712" s="132"/>
      <c r="F712" s="132">
        <v>414000000</v>
      </c>
      <c r="G712" s="132"/>
      <c r="H712" s="131" t="s">
        <v>834</v>
      </c>
      <c r="I712" s="134" t="s">
        <v>860</v>
      </c>
      <c r="J712" s="104">
        <v>1</v>
      </c>
      <c r="K712" s="104">
        <v>1</v>
      </c>
      <c r="L712" s="104">
        <v>12</v>
      </c>
      <c r="M712" s="91">
        <f t="shared" si="189"/>
        <v>1</v>
      </c>
      <c r="N712" s="98" t="s">
        <v>64</v>
      </c>
      <c r="O712" s="99" t="s">
        <v>65</v>
      </c>
      <c r="P712" s="151">
        <f t="shared" si="186"/>
        <v>1</v>
      </c>
      <c r="Q712" s="101">
        <f t="shared" si="187"/>
        <v>414000000</v>
      </c>
      <c r="R712" s="101">
        <f t="shared" si="188"/>
        <v>414000000</v>
      </c>
      <c r="S712" s="144" t="s">
        <v>56</v>
      </c>
      <c r="T712" s="151">
        <f t="shared" si="191"/>
        <v>0</v>
      </c>
      <c r="U712" s="27" t="str">
        <f t="shared" si="190"/>
        <v>SUBDIRECCION DE GESTION CONTRACTUAL</v>
      </c>
      <c r="V712" s="151" t="str">
        <f t="shared" si="184"/>
        <v>CO-DC</v>
      </c>
      <c r="W712" s="151" t="str">
        <f t="shared" si="185"/>
        <v>Distrito Capital de Bogotá</v>
      </c>
      <c r="X712" s="131" t="s">
        <v>829</v>
      </c>
      <c r="Y712" s="104">
        <v>2427400</v>
      </c>
      <c r="Z712" s="133" t="s">
        <v>830</v>
      </c>
    </row>
    <row r="713" spans="1:26" s="61" customFormat="1" ht="13.9" hidden="1" customHeight="1" x14ac:dyDescent="0.2">
      <c r="A713" s="171" t="s">
        <v>824</v>
      </c>
      <c r="B713" s="104">
        <v>32</v>
      </c>
      <c r="C713" s="134" t="s">
        <v>825</v>
      </c>
      <c r="D713" s="131" t="s">
        <v>826</v>
      </c>
      <c r="E713" s="132"/>
      <c r="F713" s="132">
        <v>205000000</v>
      </c>
      <c r="G713" s="132"/>
      <c r="H713" s="131" t="s">
        <v>834</v>
      </c>
      <c r="I713" s="134" t="s">
        <v>861</v>
      </c>
      <c r="J713" s="104">
        <v>1</v>
      </c>
      <c r="K713" s="104">
        <v>1</v>
      </c>
      <c r="L713" s="104">
        <v>12</v>
      </c>
      <c r="M713" s="91">
        <f t="shared" si="189"/>
        <v>1</v>
      </c>
      <c r="N713" s="98" t="s">
        <v>64</v>
      </c>
      <c r="O713" s="99" t="s">
        <v>65</v>
      </c>
      <c r="P713" s="151">
        <f t="shared" si="186"/>
        <v>1</v>
      </c>
      <c r="Q713" s="101">
        <f t="shared" si="187"/>
        <v>205000000</v>
      </c>
      <c r="R713" s="101">
        <f t="shared" si="188"/>
        <v>205000000</v>
      </c>
      <c r="S713" s="144" t="s">
        <v>56</v>
      </c>
      <c r="T713" s="151">
        <f t="shared" si="191"/>
        <v>0</v>
      </c>
      <c r="U713" s="27" t="str">
        <f t="shared" si="190"/>
        <v>SUBDIRECCION DE GESTION CONTRACTUAL</v>
      </c>
      <c r="V713" s="151" t="str">
        <f t="shared" ref="V713:V744" si="192">IF(ISBLANK(N713),"","CO-DC")</f>
        <v>CO-DC</v>
      </c>
      <c r="W713" s="151" t="str">
        <f t="shared" ref="W713:W744" si="193">IF(ISBLANK(N713),"","Distrito Capital de Bogotá")</f>
        <v>Distrito Capital de Bogotá</v>
      </c>
      <c r="X713" s="131" t="s">
        <v>829</v>
      </c>
      <c r="Y713" s="104">
        <v>2427400</v>
      </c>
      <c r="Z713" s="133" t="s">
        <v>830</v>
      </c>
    </row>
    <row r="714" spans="1:26" s="61" customFormat="1" ht="13.9" hidden="1" customHeight="1" x14ac:dyDescent="0.2">
      <c r="A714" s="171" t="s">
        <v>824</v>
      </c>
      <c r="B714" s="104">
        <v>33</v>
      </c>
      <c r="C714" s="134" t="s">
        <v>825</v>
      </c>
      <c r="D714" s="131" t="s">
        <v>826</v>
      </c>
      <c r="E714" s="132"/>
      <c r="F714" s="132">
        <v>250000000</v>
      </c>
      <c r="G714" s="132"/>
      <c r="H714" s="131" t="s">
        <v>834</v>
      </c>
      <c r="I714" s="134" t="s">
        <v>862</v>
      </c>
      <c r="J714" s="104">
        <v>1</v>
      </c>
      <c r="K714" s="104">
        <v>1</v>
      </c>
      <c r="L714" s="104">
        <v>12</v>
      </c>
      <c r="M714" s="91">
        <f t="shared" si="189"/>
        <v>1</v>
      </c>
      <c r="N714" s="98" t="s">
        <v>64</v>
      </c>
      <c r="O714" s="99" t="s">
        <v>65</v>
      </c>
      <c r="P714" s="151">
        <f t="shared" ref="P714:P745" si="194">IF(ISBLANK(N714),"",1)</f>
        <v>1</v>
      </c>
      <c r="Q714" s="101">
        <f t="shared" si="187"/>
        <v>250000000</v>
      </c>
      <c r="R714" s="101">
        <f t="shared" si="188"/>
        <v>250000000</v>
      </c>
      <c r="S714" s="144" t="s">
        <v>56</v>
      </c>
      <c r="T714" s="151">
        <f t="shared" si="191"/>
        <v>0</v>
      </c>
      <c r="U714" s="27" t="str">
        <f t="shared" si="190"/>
        <v>SUBDIRECCION DE GESTION CONTRACTUAL</v>
      </c>
      <c r="V714" s="151" t="str">
        <f t="shared" si="192"/>
        <v>CO-DC</v>
      </c>
      <c r="W714" s="151" t="str">
        <f t="shared" si="193"/>
        <v>Distrito Capital de Bogotá</v>
      </c>
      <c r="X714" s="131" t="s">
        <v>829</v>
      </c>
      <c r="Y714" s="104">
        <v>2427400</v>
      </c>
      <c r="Z714" s="133" t="s">
        <v>830</v>
      </c>
    </row>
    <row r="715" spans="1:26" s="61" customFormat="1" ht="13.9" hidden="1" customHeight="1" x14ac:dyDescent="0.2">
      <c r="A715" s="171" t="s">
        <v>824</v>
      </c>
      <c r="B715" s="104">
        <v>34</v>
      </c>
      <c r="C715" s="134" t="s">
        <v>825</v>
      </c>
      <c r="D715" s="131" t="s">
        <v>826</v>
      </c>
      <c r="E715" s="132"/>
      <c r="F715" s="132">
        <v>250000000</v>
      </c>
      <c r="G715" s="132"/>
      <c r="H715" s="131" t="s">
        <v>834</v>
      </c>
      <c r="I715" s="134" t="s">
        <v>863</v>
      </c>
      <c r="J715" s="104">
        <v>1</v>
      </c>
      <c r="K715" s="104">
        <v>1</v>
      </c>
      <c r="L715" s="104">
        <v>12</v>
      </c>
      <c r="M715" s="91">
        <f t="shared" si="189"/>
        <v>1</v>
      </c>
      <c r="N715" s="98" t="s">
        <v>64</v>
      </c>
      <c r="O715" s="99" t="s">
        <v>65</v>
      </c>
      <c r="P715" s="151">
        <f t="shared" si="194"/>
        <v>1</v>
      </c>
      <c r="Q715" s="101">
        <f t="shared" si="187"/>
        <v>250000000</v>
      </c>
      <c r="R715" s="101">
        <f t="shared" si="188"/>
        <v>250000000</v>
      </c>
      <c r="S715" s="144" t="s">
        <v>56</v>
      </c>
      <c r="T715" s="151">
        <f t="shared" si="191"/>
        <v>0</v>
      </c>
      <c r="U715" s="27" t="str">
        <f t="shared" si="190"/>
        <v>SUBDIRECCION DE GESTION CONTRACTUAL</v>
      </c>
      <c r="V715" s="151" t="str">
        <f t="shared" si="192"/>
        <v>CO-DC</v>
      </c>
      <c r="W715" s="151" t="str">
        <f t="shared" si="193"/>
        <v>Distrito Capital de Bogotá</v>
      </c>
      <c r="X715" s="131" t="s">
        <v>829</v>
      </c>
      <c r="Y715" s="104">
        <v>2427400</v>
      </c>
      <c r="Z715" s="133" t="s">
        <v>830</v>
      </c>
    </row>
    <row r="716" spans="1:26" s="61" customFormat="1" ht="13.9" hidden="1" customHeight="1" x14ac:dyDescent="0.2">
      <c r="A716" s="171" t="s">
        <v>824</v>
      </c>
      <c r="B716" s="104">
        <v>35</v>
      </c>
      <c r="C716" s="134" t="s">
        <v>825</v>
      </c>
      <c r="D716" s="131" t="s">
        <v>826</v>
      </c>
      <c r="E716" s="132"/>
      <c r="F716" s="132">
        <v>147071700</v>
      </c>
      <c r="G716" s="132"/>
      <c r="H716" s="131" t="s">
        <v>834</v>
      </c>
      <c r="I716" s="134" t="s">
        <v>864</v>
      </c>
      <c r="J716" s="104">
        <v>1</v>
      </c>
      <c r="K716" s="104">
        <v>1</v>
      </c>
      <c r="L716" s="104">
        <v>12</v>
      </c>
      <c r="M716" s="91">
        <f t="shared" si="189"/>
        <v>1</v>
      </c>
      <c r="N716" s="98" t="s">
        <v>64</v>
      </c>
      <c r="O716" s="99" t="s">
        <v>65</v>
      </c>
      <c r="P716" s="151">
        <f t="shared" si="194"/>
        <v>1</v>
      </c>
      <c r="Q716" s="101">
        <f t="shared" si="187"/>
        <v>147071700</v>
      </c>
      <c r="R716" s="101">
        <f t="shared" si="188"/>
        <v>147071700</v>
      </c>
      <c r="S716" s="144" t="s">
        <v>56</v>
      </c>
      <c r="T716" s="151">
        <f t="shared" si="191"/>
        <v>0</v>
      </c>
      <c r="U716" s="27" t="str">
        <f t="shared" si="190"/>
        <v>SUBDIRECCION DE GESTION CONTRACTUAL</v>
      </c>
      <c r="V716" s="151" t="str">
        <f t="shared" si="192"/>
        <v>CO-DC</v>
      </c>
      <c r="W716" s="151" t="str">
        <f t="shared" si="193"/>
        <v>Distrito Capital de Bogotá</v>
      </c>
      <c r="X716" s="131" t="s">
        <v>829</v>
      </c>
      <c r="Y716" s="104">
        <v>2427400</v>
      </c>
      <c r="Z716" s="133" t="s">
        <v>830</v>
      </c>
    </row>
    <row r="717" spans="1:26" s="61" customFormat="1" ht="13.9" hidden="1" customHeight="1" x14ac:dyDescent="0.2">
      <c r="A717" s="171" t="s">
        <v>824</v>
      </c>
      <c r="B717" s="104">
        <v>36</v>
      </c>
      <c r="C717" s="134" t="s">
        <v>825</v>
      </c>
      <c r="D717" s="131" t="s">
        <v>826</v>
      </c>
      <c r="E717" s="132"/>
      <c r="F717" s="132">
        <v>359287380</v>
      </c>
      <c r="G717" s="132"/>
      <c r="H717" s="131" t="s">
        <v>834</v>
      </c>
      <c r="I717" s="134" t="s">
        <v>865</v>
      </c>
      <c r="J717" s="104">
        <v>1</v>
      </c>
      <c r="K717" s="104">
        <v>1</v>
      </c>
      <c r="L717" s="104">
        <v>12</v>
      </c>
      <c r="M717" s="91">
        <f t="shared" si="189"/>
        <v>1</v>
      </c>
      <c r="N717" s="98" t="s">
        <v>64</v>
      </c>
      <c r="O717" s="99" t="s">
        <v>65</v>
      </c>
      <c r="P717" s="151">
        <f t="shared" si="194"/>
        <v>1</v>
      </c>
      <c r="Q717" s="101">
        <f t="shared" si="187"/>
        <v>359287380</v>
      </c>
      <c r="R717" s="101">
        <f t="shared" si="188"/>
        <v>359287380</v>
      </c>
      <c r="S717" s="144" t="s">
        <v>56</v>
      </c>
      <c r="T717" s="151">
        <f t="shared" si="191"/>
        <v>0</v>
      </c>
      <c r="U717" s="27" t="str">
        <f t="shared" si="190"/>
        <v>SUBDIRECCION DE GESTION CONTRACTUAL</v>
      </c>
      <c r="V717" s="151" t="str">
        <f t="shared" si="192"/>
        <v>CO-DC</v>
      </c>
      <c r="W717" s="151" t="str">
        <f t="shared" si="193"/>
        <v>Distrito Capital de Bogotá</v>
      </c>
      <c r="X717" s="131" t="s">
        <v>829</v>
      </c>
      <c r="Y717" s="104">
        <v>2427400</v>
      </c>
      <c r="Z717" s="133" t="s">
        <v>830</v>
      </c>
    </row>
    <row r="718" spans="1:26" s="61" customFormat="1" ht="13.9" hidden="1" customHeight="1" x14ac:dyDescent="0.2">
      <c r="A718" s="171" t="s">
        <v>824</v>
      </c>
      <c r="B718" s="104">
        <v>37</v>
      </c>
      <c r="C718" s="134" t="s">
        <v>825</v>
      </c>
      <c r="D718" s="131" t="s">
        <v>826</v>
      </c>
      <c r="E718" s="132"/>
      <c r="F718" s="132">
        <v>147071700</v>
      </c>
      <c r="G718" s="132"/>
      <c r="H718" s="131" t="s">
        <v>834</v>
      </c>
      <c r="I718" s="134" t="s">
        <v>866</v>
      </c>
      <c r="J718" s="104">
        <v>1</v>
      </c>
      <c r="K718" s="104">
        <v>1</v>
      </c>
      <c r="L718" s="104">
        <v>12</v>
      </c>
      <c r="M718" s="91">
        <f t="shared" si="189"/>
        <v>1</v>
      </c>
      <c r="N718" s="98" t="s">
        <v>64</v>
      </c>
      <c r="O718" s="99" t="s">
        <v>65</v>
      </c>
      <c r="P718" s="151">
        <f t="shared" si="194"/>
        <v>1</v>
      </c>
      <c r="Q718" s="101">
        <f t="shared" si="187"/>
        <v>147071700</v>
      </c>
      <c r="R718" s="101">
        <f t="shared" si="188"/>
        <v>147071700</v>
      </c>
      <c r="S718" s="144" t="s">
        <v>56</v>
      </c>
      <c r="T718" s="151">
        <f t="shared" si="191"/>
        <v>0</v>
      </c>
      <c r="U718" s="27" t="str">
        <f t="shared" si="190"/>
        <v>SUBDIRECCION DE GESTION CONTRACTUAL</v>
      </c>
      <c r="V718" s="151" t="str">
        <f t="shared" si="192"/>
        <v>CO-DC</v>
      </c>
      <c r="W718" s="151" t="str">
        <f t="shared" si="193"/>
        <v>Distrito Capital de Bogotá</v>
      </c>
      <c r="X718" s="131" t="s">
        <v>829</v>
      </c>
      <c r="Y718" s="104">
        <v>2427400</v>
      </c>
      <c r="Z718" s="133" t="s">
        <v>830</v>
      </c>
    </row>
    <row r="719" spans="1:26" s="61" customFormat="1" ht="13.9" hidden="1" customHeight="1" x14ac:dyDescent="0.2">
      <c r="A719" s="171" t="s">
        <v>824</v>
      </c>
      <c r="B719" s="104">
        <v>38</v>
      </c>
      <c r="C719" s="134" t="s">
        <v>825</v>
      </c>
      <c r="D719" s="131" t="s">
        <v>826</v>
      </c>
      <c r="E719" s="132"/>
      <c r="F719" s="132">
        <v>147071700</v>
      </c>
      <c r="G719" s="132"/>
      <c r="H719" s="131" t="s">
        <v>834</v>
      </c>
      <c r="I719" s="134" t="s">
        <v>867</v>
      </c>
      <c r="J719" s="104">
        <v>1</v>
      </c>
      <c r="K719" s="104">
        <v>1</v>
      </c>
      <c r="L719" s="104">
        <v>12</v>
      </c>
      <c r="M719" s="91">
        <f t="shared" si="189"/>
        <v>1</v>
      </c>
      <c r="N719" s="98" t="s">
        <v>64</v>
      </c>
      <c r="O719" s="99" t="s">
        <v>65</v>
      </c>
      <c r="P719" s="151">
        <f t="shared" si="194"/>
        <v>1</v>
      </c>
      <c r="Q719" s="101">
        <f t="shared" si="187"/>
        <v>147071700</v>
      </c>
      <c r="R719" s="101">
        <f t="shared" si="188"/>
        <v>147071700</v>
      </c>
      <c r="S719" s="144" t="s">
        <v>56</v>
      </c>
      <c r="T719" s="151">
        <f t="shared" si="191"/>
        <v>0</v>
      </c>
      <c r="U719" s="27" t="str">
        <f t="shared" si="190"/>
        <v>SUBDIRECCION DE GESTION CONTRACTUAL</v>
      </c>
      <c r="V719" s="151" t="str">
        <f t="shared" si="192"/>
        <v>CO-DC</v>
      </c>
      <c r="W719" s="151" t="str">
        <f t="shared" si="193"/>
        <v>Distrito Capital de Bogotá</v>
      </c>
      <c r="X719" s="131" t="s">
        <v>829</v>
      </c>
      <c r="Y719" s="104">
        <v>2427400</v>
      </c>
      <c r="Z719" s="133" t="s">
        <v>830</v>
      </c>
    </row>
    <row r="720" spans="1:26" s="61" customFormat="1" ht="13.9" hidden="1" customHeight="1" x14ac:dyDescent="0.2">
      <c r="A720" s="171" t="s">
        <v>824</v>
      </c>
      <c r="B720" s="104">
        <v>39</v>
      </c>
      <c r="C720" s="134" t="s">
        <v>825</v>
      </c>
      <c r="D720" s="131" t="s">
        <v>826</v>
      </c>
      <c r="E720" s="132"/>
      <c r="F720" s="132">
        <v>4716328480</v>
      </c>
      <c r="G720" s="132"/>
      <c r="H720" s="131" t="s">
        <v>827</v>
      </c>
      <c r="I720" s="134" t="s">
        <v>868</v>
      </c>
      <c r="J720" s="104">
        <v>1</v>
      </c>
      <c r="K720" s="104">
        <v>1</v>
      </c>
      <c r="L720" s="104">
        <v>12</v>
      </c>
      <c r="M720" s="91">
        <f t="shared" si="189"/>
        <v>1</v>
      </c>
      <c r="N720" s="98" t="s">
        <v>64</v>
      </c>
      <c r="O720" s="99" t="s">
        <v>65</v>
      </c>
      <c r="P720" s="151">
        <f t="shared" si="194"/>
        <v>1</v>
      </c>
      <c r="Q720" s="101">
        <f t="shared" si="187"/>
        <v>4716328480</v>
      </c>
      <c r="R720" s="101">
        <f t="shared" si="188"/>
        <v>4716328480</v>
      </c>
      <c r="S720" s="144" t="s">
        <v>56</v>
      </c>
      <c r="T720" s="151">
        <f t="shared" si="191"/>
        <v>0</v>
      </c>
      <c r="U720" s="27" t="str">
        <f t="shared" si="190"/>
        <v>SUBDIRECCION DE GESTION CONTRACTUAL</v>
      </c>
      <c r="V720" s="151" t="str">
        <f t="shared" si="192"/>
        <v>CO-DC</v>
      </c>
      <c r="W720" s="151" t="str">
        <f t="shared" si="193"/>
        <v>Distrito Capital de Bogotá</v>
      </c>
      <c r="X720" s="131" t="s">
        <v>829</v>
      </c>
      <c r="Y720" s="104">
        <v>2427400</v>
      </c>
      <c r="Z720" s="133" t="s">
        <v>830</v>
      </c>
    </row>
    <row r="721" spans="1:26" s="61" customFormat="1" ht="13.9" hidden="1" customHeight="1" x14ac:dyDescent="0.2">
      <c r="A721" s="171" t="s">
        <v>824</v>
      </c>
      <c r="B721" s="104">
        <v>40</v>
      </c>
      <c r="C721" s="134" t="s">
        <v>825</v>
      </c>
      <c r="D721" s="131" t="s">
        <v>826</v>
      </c>
      <c r="E721" s="132"/>
      <c r="F721" s="132">
        <v>1025000000</v>
      </c>
      <c r="G721" s="132"/>
      <c r="H721" s="131" t="s">
        <v>834</v>
      </c>
      <c r="I721" s="134" t="s">
        <v>869</v>
      </c>
      <c r="J721" s="104">
        <v>1</v>
      </c>
      <c r="K721" s="104">
        <v>1</v>
      </c>
      <c r="L721" s="104">
        <v>12</v>
      </c>
      <c r="M721" s="91">
        <f t="shared" si="189"/>
        <v>1</v>
      </c>
      <c r="N721" s="98" t="s">
        <v>64</v>
      </c>
      <c r="O721" s="99" t="s">
        <v>65</v>
      </c>
      <c r="P721" s="151">
        <f t="shared" si="194"/>
        <v>1</v>
      </c>
      <c r="Q721" s="101">
        <f t="shared" si="187"/>
        <v>1025000000</v>
      </c>
      <c r="R721" s="101">
        <f t="shared" si="188"/>
        <v>1025000000</v>
      </c>
      <c r="S721" s="144" t="s">
        <v>56</v>
      </c>
      <c r="T721" s="151">
        <f t="shared" si="191"/>
        <v>0</v>
      </c>
      <c r="U721" s="27" t="str">
        <f t="shared" si="190"/>
        <v>SUBDIRECCION DE GESTION CONTRACTUAL</v>
      </c>
      <c r="V721" s="151" t="str">
        <f t="shared" si="192"/>
        <v>CO-DC</v>
      </c>
      <c r="W721" s="151" t="str">
        <f t="shared" si="193"/>
        <v>Distrito Capital de Bogotá</v>
      </c>
      <c r="X721" s="131" t="s">
        <v>829</v>
      </c>
      <c r="Y721" s="104">
        <v>2427400</v>
      </c>
      <c r="Z721" s="133" t="s">
        <v>830</v>
      </c>
    </row>
    <row r="722" spans="1:26" s="61" customFormat="1" ht="13.9" hidden="1" customHeight="1" x14ac:dyDescent="0.2">
      <c r="A722" s="171" t="s">
        <v>824</v>
      </c>
      <c r="B722" s="104">
        <v>41</v>
      </c>
      <c r="C722" s="134" t="s">
        <v>825</v>
      </c>
      <c r="D722" s="131" t="s">
        <v>826</v>
      </c>
      <c r="E722" s="132"/>
      <c r="F722" s="132">
        <v>514750950</v>
      </c>
      <c r="G722" s="132"/>
      <c r="H722" s="131" t="s">
        <v>834</v>
      </c>
      <c r="I722" s="134" t="s">
        <v>870</v>
      </c>
      <c r="J722" s="104">
        <v>1</v>
      </c>
      <c r="K722" s="104">
        <v>1</v>
      </c>
      <c r="L722" s="104">
        <v>12</v>
      </c>
      <c r="M722" s="91">
        <f t="shared" si="189"/>
        <v>1</v>
      </c>
      <c r="N722" s="98" t="s">
        <v>64</v>
      </c>
      <c r="O722" s="99" t="s">
        <v>65</v>
      </c>
      <c r="P722" s="151">
        <f t="shared" si="194"/>
        <v>1</v>
      </c>
      <c r="Q722" s="101">
        <f t="shared" si="187"/>
        <v>514750950</v>
      </c>
      <c r="R722" s="101">
        <f t="shared" si="188"/>
        <v>514750950</v>
      </c>
      <c r="S722" s="144" t="s">
        <v>56</v>
      </c>
      <c r="T722" s="151">
        <f t="shared" si="191"/>
        <v>0</v>
      </c>
      <c r="U722" s="27" t="str">
        <f t="shared" si="190"/>
        <v>SUBDIRECCION DE GESTION CONTRACTUAL</v>
      </c>
      <c r="V722" s="151" t="str">
        <f t="shared" si="192"/>
        <v>CO-DC</v>
      </c>
      <c r="W722" s="151" t="str">
        <f t="shared" si="193"/>
        <v>Distrito Capital de Bogotá</v>
      </c>
      <c r="X722" s="131" t="s">
        <v>829</v>
      </c>
      <c r="Y722" s="104">
        <v>2427400</v>
      </c>
      <c r="Z722" s="133" t="s">
        <v>830</v>
      </c>
    </row>
    <row r="723" spans="1:26" s="61" customFormat="1" ht="13.9" hidden="1" customHeight="1" x14ac:dyDescent="0.2">
      <c r="A723" s="171" t="s">
        <v>824</v>
      </c>
      <c r="B723" s="104">
        <v>42</v>
      </c>
      <c r="C723" s="134" t="s">
        <v>825</v>
      </c>
      <c r="D723" s="131" t="s">
        <v>826</v>
      </c>
      <c r="E723" s="132"/>
      <c r="F723" s="132">
        <v>1101245901</v>
      </c>
      <c r="G723" s="132"/>
      <c r="H723" s="131" t="s">
        <v>834</v>
      </c>
      <c r="I723" s="134" t="s">
        <v>871</v>
      </c>
      <c r="J723" s="104">
        <v>1</v>
      </c>
      <c r="K723" s="104">
        <v>1</v>
      </c>
      <c r="L723" s="104">
        <v>12</v>
      </c>
      <c r="M723" s="91">
        <f t="shared" si="189"/>
        <v>1</v>
      </c>
      <c r="N723" s="98" t="s">
        <v>64</v>
      </c>
      <c r="O723" s="99" t="s">
        <v>65</v>
      </c>
      <c r="P723" s="151">
        <f t="shared" si="194"/>
        <v>1</v>
      </c>
      <c r="Q723" s="101">
        <f t="shared" si="187"/>
        <v>1101245901</v>
      </c>
      <c r="R723" s="101">
        <f t="shared" si="188"/>
        <v>1101245901</v>
      </c>
      <c r="S723" s="144" t="s">
        <v>56</v>
      </c>
      <c r="T723" s="151">
        <f t="shared" si="191"/>
        <v>0</v>
      </c>
      <c r="U723" s="27" t="str">
        <f t="shared" si="190"/>
        <v>SUBDIRECCION DE GESTION CONTRACTUAL</v>
      </c>
      <c r="V723" s="151" t="str">
        <f t="shared" si="192"/>
        <v>CO-DC</v>
      </c>
      <c r="W723" s="151" t="str">
        <f t="shared" si="193"/>
        <v>Distrito Capital de Bogotá</v>
      </c>
      <c r="X723" s="131" t="s">
        <v>829</v>
      </c>
      <c r="Y723" s="104">
        <v>2427400</v>
      </c>
      <c r="Z723" s="133" t="s">
        <v>830</v>
      </c>
    </row>
    <row r="724" spans="1:26" s="61" customFormat="1" ht="13.9" hidden="1" customHeight="1" x14ac:dyDescent="0.2">
      <c r="A724" s="171" t="s">
        <v>824</v>
      </c>
      <c r="B724" s="104">
        <v>43</v>
      </c>
      <c r="C724" s="134" t="s">
        <v>825</v>
      </c>
      <c r="D724" s="131" t="s">
        <v>826</v>
      </c>
      <c r="E724" s="132"/>
      <c r="F724" s="132">
        <v>727303040</v>
      </c>
      <c r="G724" s="132"/>
      <c r="H724" s="131" t="s">
        <v>834</v>
      </c>
      <c r="I724" s="134" t="s">
        <v>872</v>
      </c>
      <c r="J724" s="104">
        <v>1</v>
      </c>
      <c r="K724" s="104">
        <v>1</v>
      </c>
      <c r="L724" s="104">
        <v>12</v>
      </c>
      <c r="M724" s="91">
        <f t="shared" si="189"/>
        <v>1</v>
      </c>
      <c r="N724" s="98" t="s">
        <v>64</v>
      </c>
      <c r="O724" s="99" t="s">
        <v>65</v>
      </c>
      <c r="P724" s="151">
        <f t="shared" si="194"/>
        <v>1</v>
      </c>
      <c r="Q724" s="101">
        <f t="shared" si="187"/>
        <v>727303040</v>
      </c>
      <c r="R724" s="101">
        <f t="shared" si="188"/>
        <v>727303040</v>
      </c>
      <c r="S724" s="144" t="s">
        <v>56</v>
      </c>
      <c r="T724" s="151">
        <f t="shared" si="191"/>
        <v>0</v>
      </c>
      <c r="U724" s="27" t="str">
        <f t="shared" si="190"/>
        <v>SUBDIRECCION DE GESTION CONTRACTUAL</v>
      </c>
      <c r="V724" s="151" t="str">
        <f t="shared" si="192"/>
        <v>CO-DC</v>
      </c>
      <c r="W724" s="151" t="str">
        <f t="shared" si="193"/>
        <v>Distrito Capital de Bogotá</v>
      </c>
      <c r="X724" s="131" t="s">
        <v>829</v>
      </c>
      <c r="Y724" s="104">
        <v>2427400</v>
      </c>
      <c r="Z724" s="133" t="s">
        <v>830</v>
      </c>
    </row>
    <row r="725" spans="1:26" s="61" customFormat="1" ht="13.9" hidden="1" customHeight="1" x14ac:dyDescent="0.2">
      <c r="A725" s="171" t="s">
        <v>824</v>
      </c>
      <c r="B725" s="104">
        <v>44</v>
      </c>
      <c r="C725" s="134" t="s">
        <v>825</v>
      </c>
      <c r="D725" s="131" t="s">
        <v>826</v>
      </c>
      <c r="E725" s="132"/>
      <c r="F725" s="132">
        <v>205000000</v>
      </c>
      <c r="G725" s="132"/>
      <c r="H725" s="131" t="s">
        <v>834</v>
      </c>
      <c r="I725" s="134" t="s">
        <v>873</v>
      </c>
      <c r="J725" s="104">
        <v>1</v>
      </c>
      <c r="K725" s="104">
        <v>1</v>
      </c>
      <c r="L725" s="104">
        <v>12</v>
      </c>
      <c r="M725" s="91">
        <f t="shared" si="189"/>
        <v>1</v>
      </c>
      <c r="N725" s="98" t="s">
        <v>64</v>
      </c>
      <c r="O725" s="99" t="s">
        <v>65</v>
      </c>
      <c r="P725" s="151">
        <f t="shared" si="194"/>
        <v>1</v>
      </c>
      <c r="Q725" s="101">
        <f t="shared" si="187"/>
        <v>205000000</v>
      </c>
      <c r="R725" s="101">
        <f t="shared" si="188"/>
        <v>205000000</v>
      </c>
      <c r="S725" s="144" t="s">
        <v>56</v>
      </c>
      <c r="T725" s="151">
        <f t="shared" si="191"/>
        <v>0</v>
      </c>
      <c r="U725" s="27" t="str">
        <f t="shared" si="190"/>
        <v>SUBDIRECCION DE GESTION CONTRACTUAL</v>
      </c>
      <c r="V725" s="151" t="str">
        <f t="shared" si="192"/>
        <v>CO-DC</v>
      </c>
      <c r="W725" s="151" t="str">
        <f t="shared" si="193"/>
        <v>Distrito Capital de Bogotá</v>
      </c>
      <c r="X725" s="131" t="s">
        <v>829</v>
      </c>
      <c r="Y725" s="104">
        <v>2427400</v>
      </c>
      <c r="Z725" s="133" t="s">
        <v>830</v>
      </c>
    </row>
    <row r="726" spans="1:26" s="61" customFormat="1" ht="13.9" hidden="1" customHeight="1" x14ac:dyDescent="0.2">
      <c r="A726" s="171" t="s">
        <v>824</v>
      </c>
      <c r="B726" s="104">
        <v>45</v>
      </c>
      <c r="C726" s="134" t="s">
        <v>825</v>
      </c>
      <c r="D726" s="131" t="s">
        <v>826</v>
      </c>
      <c r="E726" s="132"/>
      <c r="F726" s="132">
        <v>962792662</v>
      </c>
      <c r="G726" s="132"/>
      <c r="H726" s="131" t="s">
        <v>827</v>
      </c>
      <c r="I726" s="134" t="s">
        <v>874</v>
      </c>
      <c r="J726" s="104">
        <v>1</v>
      </c>
      <c r="K726" s="104">
        <v>1</v>
      </c>
      <c r="L726" s="104">
        <v>12</v>
      </c>
      <c r="M726" s="91">
        <f t="shared" si="189"/>
        <v>1</v>
      </c>
      <c r="N726" s="98" t="s">
        <v>64</v>
      </c>
      <c r="O726" s="99" t="s">
        <v>65</v>
      </c>
      <c r="P726" s="151">
        <f t="shared" si="194"/>
        <v>1</v>
      </c>
      <c r="Q726" s="101">
        <f t="shared" si="187"/>
        <v>962792662</v>
      </c>
      <c r="R726" s="101">
        <f t="shared" si="188"/>
        <v>962792662</v>
      </c>
      <c r="S726" s="144" t="s">
        <v>56</v>
      </c>
      <c r="T726" s="151">
        <f t="shared" si="191"/>
        <v>0</v>
      </c>
      <c r="U726" s="27" t="str">
        <f t="shared" si="190"/>
        <v>SUBDIRECCION DE GESTION CONTRACTUAL</v>
      </c>
      <c r="V726" s="151" t="str">
        <f t="shared" si="192"/>
        <v>CO-DC</v>
      </c>
      <c r="W726" s="151" t="str">
        <f t="shared" si="193"/>
        <v>Distrito Capital de Bogotá</v>
      </c>
      <c r="X726" s="131" t="s">
        <v>829</v>
      </c>
      <c r="Y726" s="104">
        <v>2427400</v>
      </c>
      <c r="Z726" s="133" t="s">
        <v>830</v>
      </c>
    </row>
    <row r="727" spans="1:26" s="61" customFormat="1" ht="13.9" hidden="1" customHeight="1" x14ac:dyDescent="0.2">
      <c r="A727" s="171" t="s">
        <v>824</v>
      </c>
      <c r="B727" s="104">
        <v>46</v>
      </c>
      <c r="C727" s="134" t="s">
        <v>825</v>
      </c>
      <c r="D727" s="131" t="s">
        <v>826</v>
      </c>
      <c r="E727" s="132"/>
      <c r="F727" s="132">
        <v>725303040</v>
      </c>
      <c r="G727" s="132"/>
      <c r="H727" s="131" t="s">
        <v>834</v>
      </c>
      <c r="I727" s="134" t="s">
        <v>875</v>
      </c>
      <c r="J727" s="104">
        <v>1</v>
      </c>
      <c r="K727" s="104">
        <v>1</v>
      </c>
      <c r="L727" s="104">
        <v>12</v>
      </c>
      <c r="M727" s="91">
        <f t="shared" si="189"/>
        <v>1</v>
      </c>
      <c r="N727" s="98" t="s">
        <v>64</v>
      </c>
      <c r="O727" s="99" t="s">
        <v>65</v>
      </c>
      <c r="P727" s="151">
        <f t="shared" si="194"/>
        <v>1</v>
      </c>
      <c r="Q727" s="101">
        <f t="shared" si="187"/>
        <v>725303040</v>
      </c>
      <c r="R727" s="101">
        <f t="shared" si="188"/>
        <v>725303040</v>
      </c>
      <c r="S727" s="144" t="s">
        <v>56</v>
      </c>
      <c r="T727" s="151">
        <f t="shared" si="191"/>
        <v>0</v>
      </c>
      <c r="U727" s="27" t="str">
        <f t="shared" si="190"/>
        <v>SUBDIRECCION DE GESTION CONTRACTUAL</v>
      </c>
      <c r="V727" s="151" t="str">
        <f t="shared" si="192"/>
        <v>CO-DC</v>
      </c>
      <c r="W727" s="151" t="str">
        <f t="shared" si="193"/>
        <v>Distrito Capital de Bogotá</v>
      </c>
      <c r="X727" s="131" t="s">
        <v>829</v>
      </c>
      <c r="Y727" s="104">
        <v>2427400</v>
      </c>
      <c r="Z727" s="133" t="s">
        <v>830</v>
      </c>
    </row>
    <row r="728" spans="1:26" s="61" customFormat="1" ht="13.9" hidden="1" customHeight="1" x14ac:dyDescent="0.2">
      <c r="A728" s="171" t="s">
        <v>824</v>
      </c>
      <c r="B728" s="104">
        <v>47</v>
      </c>
      <c r="C728" s="134" t="s">
        <v>825</v>
      </c>
      <c r="D728" s="131" t="s">
        <v>826</v>
      </c>
      <c r="E728" s="132"/>
      <c r="F728" s="132">
        <v>360741600</v>
      </c>
      <c r="G728" s="132"/>
      <c r="H728" s="131" t="s">
        <v>834</v>
      </c>
      <c r="I728" s="134" t="s">
        <v>876</v>
      </c>
      <c r="J728" s="104">
        <v>1</v>
      </c>
      <c r="K728" s="104">
        <v>1</v>
      </c>
      <c r="L728" s="104">
        <v>12</v>
      </c>
      <c r="M728" s="91">
        <f t="shared" si="189"/>
        <v>1</v>
      </c>
      <c r="N728" s="98" t="s">
        <v>64</v>
      </c>
      <c r="O728" s="99" t="s">
        <v>65</v>
      </c>
      <c r="P728" s="151">
        <f t="shared" si="194"/>
        <v>1</v>
      </c>
      <c r="Q728" s="101">
        <f t="shared" si="187"/>
        <v>360741600</v>
      </c>
      <c r="R728" s="101">
        <f t="shared" si="188"/>
        <v>360741600</v>
      </c>
      <c r="S728" s="144" t="s">
        <v>56</v>
      </c>
      <c r="T728" s="151">
        <f t="shared" si="191"/>
        <v>0</v>
      </c>
      <c r="U728" s="27" t="str">
        <f t="shared" si="190"/>
        <v>SUBDIRECCION DE GESTION CONTRACTUAL</v>
      </c>
      <c r="V728" s="151" t="str">
        <f t="shared" si="192"/>
        <v>CO-DC</v>
      </c>
      <c r="W728" s="151" t="str">
        <f t="shared" si="193"/>
        <v>Distrito Capital de Bogotá</v>
      </c>
      <c r="X728" s="131" t="s">
        <v>829</v>
      </c>
      <c r="Y728" s="104">
        <v>2427400</v>
      </c>
      <c r="Z728" s="133" t="s">
        <v>830</v>
      </c>
    </row>
    <row r="729" spans="1:26" s="61" customFormat="1" ht="13.9" hidden="1" customHeight="1" x14ac:dyDescent="0.2">
      <c r="A729" s="171" t="s">
        <v>824</v>
      </c>
      <c r="B729" s="104">
        <v>48</v>
      </c>
      <c r="C729" s="134" t="s">
        <v>825</v>
      </c>
      <c r="D729" s="131" t="s">
        <v>826</v>
      </c>
      <c r="E729" s="132"/>
      <c r="F729" s="132">
        <v>725303040</v>
      </c>
      <c r="G729" s="132"/>
      <c r="H729" s="131" t="s">
        <v>834</v>
      </c>
      <c r="I729" s="134" t="s">
        <v>877</v>
      </c>
      <c r="J729" s="104">
        <v>1</v>
      </c>
      <c r="K729" s="104">
        <v>1</v>
      </c>
      <c r="L729" s="104">
        <v>12</v>
      </c>
      <c r="M729" s="91">
        <f t="shared" si="189"/>
        <v>1</v>
      </c>
      <c r="N729" s="98" t="s">
        <v>64</v>
      </c>
      <c r="O729" s="99" t="s">
        <v>65</v>
      </c>
      <c r="P729" s="151">
        <f t="shared" si="194"/>
        <v>1</v>
      </c>
      <c r="Q729" s="101">
        <f t="shared" si="187"/>
        <v>725303040</v>
      </c>
      <c r="R729" s="101">
        <f t="shared" si="188"/>
        <v>725303040</v>
      </c>
      <c r="S729" s="144" t="s">
        <v>56</v>
      </c>
      <c r="T729" s="151">
        <f t="shared" si="191"/>
        <v>0</v>
      </c>
      <c r="U729" s="27" t="str">
        <f t="shared" si="190"/>
        <v>SUBDIRECCION DE GESTION CONTRACTUAL</v>
      </c>
      <c r="V729" s="151" t="str">
        <f t="shared" si="192"/>
        <v>CO-DC</v>
      </c>
      <c r="W729" s="151" t="str">
        <f t="shared" si="193"/>
        <v>Distrito Capital de Bogotá</v>
      </c>
      <c r="X729" s="131" t="s">
        <v>829</v>
      </c>
      <c r="Y729" s="104">
        <v>2427400</v>
      </c>
      <c r="Z729" s="133" t="s">
        <v>830</v>
      </c>
    </row>
    <row r="730" spans="1:26" s="61" customFormat="1" ht="13.9" hidden="1" customHeight="1" x14ac:dyDescent="0.2">
      <c r="A730" s="171" t="s">
        <v>824</v>
      </c>
      <c r="B730" s="104">
        <v>49</v>
      </c>
      <c r="C730" s="134" t="s">
        <v>825</v>
      </c>
      <c r="D730" s="131" t="s">
        <v>826</v>
      </c>
      <c r="E730" s="132"/>
      <c r="F730" s="132">
        <v>305440000</v>
      </c>
      <c r="G730" s="132"/>
      <c r="H730" s="131" t="s">
        <v>834</v>
      </c>
      <c r="I730" s="134" t="s">
        <v>878</v>
      </c>
      <c r="J730" s="104">
        <v>1</v>
      </c>
      <c r="K730" s="104">
        <v>1</v>
      </c>
      <c r="L730" s="104">
        <v>12</v>
      </c>
      <c r="M730" s="91">
        <f t="shared" ref="M730:M761" si="195">IF(ISBLANK(J730),"",1)</f>
        <v>1</v>
      </c>
      <c r="N730" s="98" t="s">
        <v>64</v>
      </c>
      <c r="O730" s="99" t="s">
        <v>65</v>
      </c>
      <c r="P730" s="151">
        <f t="shared" si="194"/>
        <v>1</v>
      </c>
      <c r="Q730" s="101">
        <f t="shared" si="187"/>
        <v>305440000</v>
      </c>
      <c r="R730" s="101">
        <f t="shared" si="188"/>
        <v>305440000</v>
      </c>
      <c r="S730" s="144" t="s">
        <v>56</v>
      </c>
      <c r="T730" s="151">
        <f t="shared" si="191"/>
        <v>0</v>
      </c>
      <c r="U730" s="27" t="str">
        <f t="shared" ref="U730:U761" si="196">IF(ISBLANK(N730),"","SUBDIRECCION DE GESTION CONTRACTUAL")</f>
        <v>SUBDIRECCION DE GESTION CONTRACTUAL</v>
      </c>
      <c r="V730" s="151" t="str">
        <f t="shared" si="192"/>
        <v>CO-DC</v>
      </c>
      <c r="W730" s="151" t="str">
        <f t="shared" si="193"/>
        <v>Distrito Capital de Bogotá</v>
      </c>
      <c r="X730" s="131" t="s">
        <v>829</v>
      </c>
      <c r="Y730" s="104">
        <v>2427400</v>
      </c>
      <c r="Z730" s="133" t="s">
        <v>830</v>
      </c>
    </row>
    <row r="731" spans="1:26" s="61" customFormat="1" ht="13.9" hidden="1" customHeight="1" x14ac:dyDescent="0.2">
      <c r="A731" s="171" t="s">
        <v>824</v>
      </c>
      <c r="B731" s="104">
        <v>50</v>
      </c>
      <c r="C731" s="134" t="s">
        <v>825</v>
      </c>
      <c r="D731" s="131" t="s">
        <v>826</v>
      </c>
      <c r="E731" s="132"/>
      <c r="F731" s="132">
        <v>367679250</v>
      </c>
      <c r="G731" s="132"/>
      <c r="H731" s="131" t="s">
        <v>834</v>
      </c>
      <c r="I731" s="134" t="s">
        <v>879</v>
      </c>
      <c r="J731" s="104">
        <v>1</v>
      </c>
      <c r="K731" s="104">
        <v>1</v>
      </c>
      <c r="L731" s="104">
        <v>12</v>
      </c>
      <c r="M731" s="91">
        <f t="shared" si="195"/>
        <v>1</v>
      </c>
      <c r="N731" s="98" t="s">
        <v>64</v>
      </c>
      <c r="O731" s="99" t="s">
        <v>65</v>
      </c>
      <c r="P731" s="151">
        <f t="shared" si="194"/>
        <v>1</v>
      </c>
      <c r="Q731" s="101">
        <f t="shared" si="187"/>
        <v>367679250</v>
      </c>
      <c r="R731" s="101">
        <f t="shared" si="188"/>
        <v>367679250</v>
      </c>
      <c r="S731" s="144" t="s">
        <v>56</v>
      </c>
      <c r="T731" s="151">
        <f t="shared" ref="T731:T762" si="197">IF(ISBLANK(S731),"",IF(VALUE(S731)=0,0,IF(VALUE(S731)=1,3,"")))</f>
        <v>0</v>
      </c>
      <c r="U731" s="27" t="str">
        <f t="shared" si="196"/>
        <v>SUBDIRECCION DE GESTION CONTRACTUAL</v>
      </c>
      <c r="V731" s="151" t="str">
        <f t="shared" si="192"/>
        <v>CO-DC</v>
      </c>
      <c r="W731" s="151" t="str">
        <f t="shared" si="193"/>
        <v>Distrito Capital de Bogotá</v>
      </c>
      <c r="X731" s="131" t="s">
        <v>829</v>
      </c>
      <c r="Y731" s="104">
        <v>2427400</v>
      </c>
      <c r="Z731" s="133" t="s">
        <v>830</v>
      </c>
    </row>
    <row r="732" spans="1:26" s="61" customFormat="1" ht="13.9" hidden="1" customHeight="1" x14ac:dyDescent="0.2">
      <c r="A732" s="171" t="s">
        <v>824</v>
      </c>
      <c r="B732" s="104">
        <v>51</v>
      </c>
      <c r="C732" s="134" t="s">
        <v>825</v>
      </c>
      <c r="D732" s="131" t="s">
        <v>826</v>
      </c>
      <c r="E732" s="132"/>
      <c r="F732" s="132">
        <v>250000000</v>
      </c>
      <c r="G732" s="132"/>
      <c r="H732" s="131" t="s">
        <v>834</v>
      </c>
      <c r="I732" s="134" t="s">
        <v>880</v>
      </c>
      <c r="J732" s="104">
        <v>1</v>
      </c>
      <c r="K732" s="104">
        <v>1</v>
      </c>
      <c r="L732" s="104">
        <v>12</v>
      </c>
      <c r="M732" s="91">
        <f t="shared" si="195"/>
        <v>1</v>
      </c>
      <c r="N732" s="98" t="s">
        <v>64</v>
      </c>
      <c r="O732" s="99" t="s">
        <v>65</v>
      </c>
      <c r="P732" s="151">
        <f t="shared" si="194"/>
        <v>1</v>
      </c>
      <c r="Q732" s="101">
        <f t="shared" si="187"/>
        <v>250000000</v>
      </c>
      <c r="R732" s="101">
        <f t="shared" si="188"/>
        <v>250000000</v>
      </c>
      <c r="S732" s="144" t="s">
        <v>56</v>
      </c>
      <c r="T732" s="151">
        <f t="shared" si="197"/>
        <v>0</v>
      </c>
      <c r="U732" s="27" t="str">
        <f t="shared" si="196"/>
        <v>SUBDIRECCION DE GESTION CONTRACTUAL</v>
      </c>
      <c r="V732" s="151" t="str">
        <f t="shared" si="192"/>
        <v>CO-DC</v>
      </c>
      <c r="W732" s="151" t="str">
        <f t="shared" si="193"/>
        <v>Distrito Capital de Bogotá</v>
      </c>
      <c r="X732" s="131" t="s">
        <v>829</v>
      </c>
      <c r="Y732" s="104">
        <v>2427400</v>
      </c>
      <c r="Z732" s="133" t="s">
        <v>830</v>
      </c>
    </row>
    <row r="733" spans="1:26" s="61" customFormat="1" ht="13.9" hidden="1" customHeight="1" x14ac:dyDescent="0.2">
      <c r="A733" s="171" t="s">
        <v>824</v>
      </c>
      <c r="B733" s="104">
        <v>52</v>
      </c>
      <c r="C733" s="134" t="s">
        <v>825</v>
      </c>
      <c r="D733" s="131" t="s">
        <v>826</v>
      </c>
      <c r="E733" s="132"/>
      <c r="F733" s="132">
        <v>1459293457</v>
      </c>
      <c r="G733" s="132"/>
      <c r="H733" s="131" t="s">
        <v>827</v>
      </c>
      <c r="I733" s="134" t="s">
        <v>881</v>
      </c>
      <c r="J733" s="104">
        <v>1</v>
      </c>
      <c r="K733" s="104">
        <v>1</v>
      </c>
      <c r="L733" s="104">
        <v>12</v>
      </c>
      <c r="M733" s="91">
        <f t="shared" si="195"/>
        <v>1</v>
      </c>
      <c r="N733" s="98" t="s">
        <v>64</v>
      </c>
      <c r="O733" s="99" t="s">
        <v>65</v>
      </c>
      <c r="P733" s="151">
        <f t="shared" si="194"/>
        <v>1</v>
      </c>
      <c r="Q733" s="101">
        <f t="shared" si="187"/>
        <v>1459293457</v>
      </c>
      <c r="R733" s="101">
        <f t="shared" si="188"/>
        <v>1459293457</v>
      </c>
      <c r="S733" s="144" t="s">
        <v>56</v>
      </c>
      <c r="T733" s="151">
        <f t="shared" si="197"/>
        <v>0</v>
      </c>
      <c r="U733" s="27" t="str">
        <f t="shared" si="196"/>
        <v>SUBDIRECCION DE GESTION CONTRACTUAL</v>
      </c>
      <c r="V733" s="151" t="str">
        <f t="shared" si="192"/>
        <v>CO-DC</v>
      </c>
      <c r="W733" s="151" t="str">
        <f t="shared" si="193"/>
        <v>Distrito Capital de Bogotá</v>
      </c>
      <c r="X733" s="131" t="s">
        <v>829</v>
      </c>
      <c r="Y733" s="104">
        <v>2427400</v>
      </c>
      <c r="Z733" s="133" t="s">
        <v>830</v>
      </c>
    </row>
    <row r="734" spans="1:26" s="61" customFormat="1" ht="13.9" hidden="1" customHeight="1" x14ac:dyDescent="0.2">
      <c r="A734" s="171" t="s">
        <v>824</v>
      </c>
      <c r="B734" s="104">
        <v>53</v>
      </c>
      <c r="C734" s="134" t="s">
        <v>825</v>
      </c>
      <c r="D734" s="131" t="s">
        <v>826</v>
      </c>
      <c r="E734" s="132"/>
      <c r="F734" s="132">
        <v>147071700</v>
      </c>
      <c r="G734" s="132"/>
      <c r="H734" s="131" t="s">
        <v>834</v>
      </c>
      <c r="I734" s="134" t="s">
        <v>882</v>
      </c>
      <c r="J734" s="104">
        <v>1</v>
      </c>
      <c r="K734" s="104">
        <v>1</v>
      </c>
      <c r="L734" s="104">
        <v>12</v>
      </c>
      <c r="M734" s="91">
        <f t="shared" si="195"/>
        <v>1</v>
      </c>
      <c r="N734" s="98" t="s">
        <v>64</v>
      </c>
      <c r="O734" s="99" t="s">
        <v>65</v>
      </c>
      <c r="P734" s="151">
        <f t="shared" si="194"/>
        <v>1</v>
      </c>
      <c r="Q734" s="101">
        <f t="shared" si="187"/>
        <v>147071700</v>
      </c>
      <c r="R734" s="101">
        <f t="shared" si="188"/>
        <v>147071700</v>
      </c>
      <c r="S734" s="144" t="s">
        <v>56</v>
      </c>
      <c r="T734" s="151">
        <f t="shared" si="197"/>
        <v>0</v>
      </c>
      <c r="U734" s="27" t="str">
        <f t="shared" si="196"/>
        <v>SUBDIRECCION DE GESTION CONTRACTUAL</v>
      </c>
      <c r="V734" s="151" t="str">
        <f t="shared" si="192"/>
        <v>CO-DC</v>
      </c>
      <c r="W734" s="151" t="str">
        <f t="shared" si="193"/>
        <v>Distrito Capital de Bogotá</v>
      </c>
      <c r="X734" s="131" t="s">
        <v>829</v>
      </c>
      <c r="Y734" s="104">
        <v>2427400</v>
      </c>
      <c r="Z734" s="133" t="s">
        <v>830</v>
      </c>
    </row>
    <row r="735" spans="1:26" s="61" customFormat="1" ht="13.9" hidden="1" customHeight="1" x14ac:dyDescent="0.2">
      <c r="A735" s="171" t="s">
        <v>824</v>
      </c>
      <c r="B735" s="104">
        <v>54</v>
      </c>
      <c r="C735" s="134" t="s">
        <v>825</v>
      </c>
      <c r="D735" s="131" t="s">
        <v>826</v>
      </c>
      <c r="E735" s="132"/>
      <c r="F735" s="132">
        <v>393269024</v>
      </c>
      <c r="G735" s="132"/>
      <c r="H735" s="131" t="s">
        <v>827</v>
      </c>
      <c r="I735" s="134" t="s">
        <v>883</v>
      </c>
      <c r="J735" s="104">
        <v>1</v>
      </c>
      <c r="K735" s="104">
        <v>1</v>
      </c>
      <c r="L735" s="104">
        <v>12</v>
      </c>
      <c r="M735" s="91">
        <f t="shared" si="195"/>
        <v>1</v>
      </c>
      <c r="N735" s="98" t="s">
        <v>64</v>
      </c>
      <c r="O735" s="99" t="s">
        <v>65</v>
      </c>
      <c r="P735" s="151">
        <f t="shared" si="194"/>
        <v>1</v>
      </c>
      <c r="Q735" s="101">
        <f t="shared" si="187"/>
        <v>393269024</v>
      </c>
      <c r="R735" s="101">
        <f t="shared" si="188"/>
        <v>393269024</v>
      </c>
      <c r="S735" s="144" t="s">
        <v>56</v>
      </c>
      <c r="T735" s="151">
        <f t="shared" si="197"/>
        <v>0</v>
      </c>
      <c r="U735" s="27" t="str">
        <f t="shared" si="196"/>
        <v>SUBDIRECCION DE GESTION CONTRACTUAL</v>
      </c>
      <c r="V735" s="151" t="str">
        <f t="shared" si="192"/>
        <v>CO-DC</v>
      </c>
      <c r="W735" s="151" t="str">
        <f t="shared" si="193"/>
        <v>Distrito Capital de Bogotá</v>
      </c>
      <c r="X735" s="131" t="s">
        <v>829</v>
      </c>
      <c r="Y735" s="104">
        <v>2427400</v>
      </c>
      <c r="Z735" s="133" t="s">
        <v>830</v>
      </c>
    </row>
    <row r="736" spans="1:26" s="61" customFormat="1" ht="13.9" hidden="1" customHeight="1" x14ac:dyDescent="0.2">
      <c r="A736" s="171" t="s">
        <v>824</v>
      </c>
      <c r="B736" s="104">
        <v>55</v>
      </c>
      <c r="C736" s="134" t="s">
        <v>825</v>
      </c>
      <c r="D736" s="131" t="s">
        <v>826</v>
      </c>
      <c r="E736" s="132"/>
      <c r="F736" s="132">
        <v>1030400000</v>
      </c>
      <c r="G736" s="132"/>
      <c r="H736" s="131" t="s">
        <v>834</v>
      </c>
      <c r="I736" s="134" t="s">
        <v>884</v>
      </c>
      <c r="J736" s="104">
        <v>1</v>
      </c>
      <c r="K736" s="104">
        <v>1</v>
      </c>
      <c r="L736" s="104">
        <v>12</v>
      </c>
      <c r="M736" s="91">
        <f t="shared" si="195"/>
        <v>1</v>
      </c>
      <c r="N736" s="98" t="s">
        <v>64</v>
      </c>
      <c r="O736" s="99" t="s">
        <v>65</v>
      </c>
      <c r="P736" s="151">
        <f t="shared" si="194"/>
        <v>1</v>
      </c>
      <c r="Q736" s="101">
        <f t="shared" si="187"/>
        <v>1030400000</v>
      </c>
      <c r="R736" s="101">
        <f t="shared" si="188"/>
        <v>1030400000</v>
      </c>
      <c r="S736" s="144" t="s">
        <v>56</v>
      </c>
      <c r="T736" s="151">
        <f t="shared" si="197"/>
        <v>0</v>
      </c>
      <c r="U736" s="27" t="str">
        <f t="shared" si="196"/>
        <v>SUBDIRECCION DE GESTION CONTRACTUAL</v>
      </c>
      <c r="V736" s="151" t="str">
        <f t="shared" si="192"/>
        <v>CO-DC</v>
      </c>
      <c r="W736" s="151" t="str">
        <f t="shared" si="193"/>
        <v>Distrito Capital de Bogotá</v>
      </c>
      <c r="X736" s="131" t="s">
        <v>829</v>
      </c>
      <c r="Y736" s="104">
        <v>2427400</v>
      </c>
      <c r="Z736" s="133" t="s">
        <v>830</v>
      </c>
    </row>
    <row r="737" spans="1:26" s="61" customFormat="1" ht="13.9" hidden="1" customHeight="1" x14ac:dyDescent="0.2">
      <c r="A737" s="171" t="s">
        <v>824</v>
      </c>
      <c r="B737" s="104">
        <v>56</v>
      </c>
      <c r="C737" s="134" t="s">
        <v>825</v>
      </c>
      <c r="D737" s="131" t="s">
        <v>826</v>
      </c>
      <c r="E737" s="132"/>
      <c r="F737" s="132">
        <v>147071700</v>
      </c>
      <c r="G737" s="132"/>
      <c r="H737" s="131" t="s">
        <v>834</v>
      </c>
      <c r="I737" s="134" t="s">
        <v>885</v>
      </c>
      <c r="J737" s="104">
        <v>1</v>
      </c>
      <c r="K737" s="104">
        <v>1</v>
      </c>
      <c r="L737" s="104">
        <v>12</v>
      </c>
      <c r="M737" s="91">
        <f t="shared" si="195"/>
        <v>1</v>
      </c>
      <c r="N737" s="98" t="s">
        <v>64</v>
      </c>
      <c r="O737" s="99" t="s">
        <v>65</v>
      </c>
      <c r="P737" s="151">
        <f t="shared" si="194"/>
        <v>1</v>
      </c>
      <c r="Q737" s="101">
        <f t="shared" si="187"/>
        <v>147071700</v>
      </c>
      <c r="R737" s="101">
        <f t="shared" si="188"/>
        <v>147071700</v>
      </c>
      <c r="S737" s="144" t="s">
        <v>56</v>
      </c>
      <c r="T737" s="151">
        <f t="shared" si="197"/>
        <v>0</v>
      </c>
      <c r="U737" s="27" t="str">
        <f t="shared" si="196"/>
        <v>SUBDIRECCION DE GESTION CONTRACTUAL</v>
      </c>
      <c r="V737" s="151" t="str">
        <f t="shared" si="192"/>
        <v>CO-DC</v>
      </c>
      <c r="W737" s="151" t="str">
        <f t="shared" si="193"/>
        <v>Distrito Capital de Bogotá</v>
      </c>
      <c r="X737" s="131" t="s">
        <v>829</v>
      </c>
      <c r="Y737" s="104">
        <v>2427400</v>
      </c>
      <c r="Z737" s="133" t="s">
        <v>830</v>
      </c>
    </row>
    <row r="738" spans="1:26" s="61" customFormat="1" ht="13.9" hidden="1" customHeight="1" x14ac:dyDescent="0.2">
      <c r="A738" s="171" t="s">
        <v>824</v>
      </c>
      <c r="B738" s="104">
        <v>57</v>
      </c>
      <c r="C738" s="134" t="s">
        <v>825</v>
      </c>
      <c r="D738" s="131" t="s">
        <v>826</v>
      </c>
      <c r="E738" s="132"/>
      <c r="F738" s="132">
        <v>448548607</v>
      </c>
      <c r="G738" s="132"/>
      <c r="H738" s="131" t="s">
        <v>827</v>
      </c>
      <c r="I738" s="134" t="s">
        <v>886</v>
      </c>
      <c r="J738" s="104">
        <v>1</v>
      </c>
      <c r="K738" s="104">
        <v>1</v>
      </c>
      <c r="L738" s="104">
        <v>12</v>
      </c>
      <c r="M738" s="91">
        <f t="shared" si="195"/>
        <v>1</v>
      </c>
      <c r="N738" s="98" t="s">
        <v>64</v>
      </c>
      <c r="O738" s="99" t="s">
        <v>65</v>
      </c>
      <c r="P738" s="151">
        <f t="shared" si="194"/>
        <v>1</v>
      </c>
      <c r="Q738" s="101">
        <f t="shared" si="187"/>
        <v>448548607</v>
      </c>
      <c r="R738" s="101">
        <f t="shared" si="188"/>
        <v>448548607</v>
      </c>
      <c r="S738" s="144" t="s">
        <v>56</v>
      </c>
      <c r="T738" s="151">
        <f t="shared" si="197"/>
        <v>0</v>
      </c>
      <c r="U738" s="27" t="str">
        <f t="shared" si="196"/>
        <v>SUBDIRECCION DE GESTION CONTRACTUAL</v>
      </c>
      <c r="V738" s="151" t="str">
        <f t="shared" si="192"/>
        <v>CO-DC</v>
      </c>
      <c r="W738" s="151" t="str">
        <f t="shared" si="193"/>
        <v>Distrito Capital de Bogotá</v>
      </c>
      <c r="X738" s="131" t="s">
        <v>829</v>
      </c>
      <c r="Y738" s="104">
        <v>2427400</v>
      </c>
      <c r="Z738" s="133" t="s">
        <v>830</v>
      </c>
    </row>
    <row r="739" spans="1:26" s="61" customFormat="1" ht="13.9" hidden="1" customHeight="1" x14ac:dyDescent="0.2">
      <c r="A739" s="171" t="s">
        <v>824</v>
      </c>
      <c r="B739" s="104">
        <v>58</v>
      </c>
      <c r="C739" s="134" t="s">
        <v>825</v>
      </c>
      <c r="D739" s="131" t="s">
        <v>826</v>
      </c>
      <c r="E739" s="132"/>
      <c r="F739" s="132">
        <v>414000000</v>
      </c>
      <c r="G739" s="132"/>
      <c r="H739" s="131" t="s">
        <v>834</v>
      </c>
      <c r="I739" s="134" t="s">
        <v>887</v>
      </c>
      <c r="J739" s="104">
        <v>1</v>
      </c>
      <c r="K739" s="104">
        <v>1</v>
      </c>
      <c r="L739" s="104">
        <v>12</v>
      </c>
      <c r="M739" s="91">
        <f t="shared" si="195"/>
        <v>1</v>
      </c>
      <c r="N739" s="98" t="s">
        <v>64</v>
      </c>
      <c r="O739" s="99" t="s">
        <v>65</v>
      </c>
      <c r="P739" s="151">
        <f t="shared" si="194"/>
        <v>1</v>
      </c>
      <c r="Q739" s="101">
        <f t="shared" si="187"/>
        <v>414000000</v>
      </c>
      <c r="R739" s="101">
        <f t="shared" si="188"/>
        <v>414000000</v>
      </c>
      <c r="S739" s="144" t="s">
        <v>56</v>
      </c>
      <c r="T739" s="151">
        <f t="shared" si="197"/>
        <v>0</v>
      </c>
      <c r="U739" s="27" t="str">
        <f t="shared" si="196"/>
        <v>SUBDIRECCION DE GESTION CONTRACTUAL</v>
      </c>
      <c r="V739" s="151" t="str">
        <f t="shared" si="192"/>
        <v>CO-DC</v>
      </c>
      <c r="W739" s="151" t="str">
        <f t="shared" si="193"/>
        <v>Distrito Capital de Bogotá</v>
      </c>
      <c r="X739" s="131" t="s">
        <v>829</v>
      </c>
      <c r="Y739" s="104">
        <v>2427400</v>
      </c>
      <c r="Z739" s="133" t="s">
        <v>830</v>
      </c>
    </row>
    <row r="740" spans="1:26" s="61" customFormat="1" ht="13.9" hidden="1" customHeight="1" x14ac:dyDescent="0.2">
      <c r="A740" s="171" t="s">
        <v>824</v>
      </c>
      <c r="B740" s="104">
        <v>59</v>
      </c>
      <c r="C740" s="134" t="s">
        <v>825</v>
      </c>
      <c r="D740" s="131" t="s">
        <v>826</v>
      </c>
      <c r="E740" s="132"/>
      <c r="F740" s="132">
        <v>514750950</v>
      </c>
      <c r="G740" s="132"/>
      <c r="H740" s="131" t="s">
        <v>834</v>
      </c>
      <c r="I740" s="134" t="s">
        <v>888</v>
      </c>
      <c r="J740" s="104">
        <v>1</v>
      </c>
      <c r="K740" s="104">
        <v>1</v>
      </c>
      <c r="L740" s="104">
        <v>12</v>
      </c>
      <c r="M740" s="91">
        <f t="shared" si="195"/>
        <v>1</v>
      </c>
      <c r="N740" s="98" t="s">
        <v>64</v>
      </c>
      <c r="O740" s="99" t="s">
        <v>65</v>
      </c>
      <c r="P740" s="151">
        <f t="shared" si="194"/>
        <v>1</v>
      </c>
      <c r="Q740" s="101">
        <f t="shared" si="187"/>
        <v>514750950</v>
      </c>
      <c r="R740" s="101">
        <f t="shared" si="188"/>
        <v>514750950</v>
      </c>
      <c r="S740" s="144" t="s">
        <v>56</v>
      </c>
      <c r="T740" s="151">
        <f t="shared" si="197"/>
        <v>0</v>
      </c>
      <c r="U740" s="27" t="str">
        <f t="shared" si="196"/>
        <v>SUBDIRECCION DE GESTION CONTRACTUAL</v>
      </c>
      <c r="V740" s="151" t="str">
        <f t="shared" si="192"/>
        <v>CO-DC</v>
      </c>
      <c r="W740" s="151" t="str">
        <f t="shared" si="193"/>
        <v>Distrito Capital de Bogotá</v>
      </c>
      <c r="X740" s="131" t="s">
        <v>829</v>
      </c>
      <c r="Y740" s="104">
        <v>2427400</v>
      </c>
      <c r="Z740" s="133" t="s">
        <v>830</v>
      </c>
    </row>
    <row r="741" spans="1:26" s="61" customFormat="1" ht="13.9" hidden="1" customHeight="1" x14ac:dyDescent="0.2">
      <c r="A741" s="171" t="s">
        <v>824</v>
      </c>
      <c r="B741" s="104">
        <v>60</v>
      </c>
      <c r="C741" s="134" t="s">
        <v>825</v>
      </c>
      <c r="D741" s="131" t="s">
        <v>826</v>
      </c>
      <c r="E741" s="132"/>
      <c r="F741" s="132">
        <v>215180000</v>
      </c>
      <c r="G741" s="132"/>
      <c r="H741" s="131" t="s">
        <v>834</v>
      </c>
      <c r="I741" s="134" t="s">
        <v>889</v>
      </c>
      <c r="J741" s="104">
        <v>1</v>
      </c>
      <c r="K741" s="104">
        <v>1</v>
      </c>
      <c r="L741" s="104">
        <v>12</v>
      </c>
      <c r="M741" s="91">
        <f t="shared" si="195"/>
        <v>1</v>
      </c>
      <c r="N741" s="98" t="s">
        <v>64</v>
      </c>
      <c r="O741" s="99" t="s">
        <v>65</v>
      </c>
      <c r="P741" s="151">
        <f t="shared" si="194"/>
        <v>1</v>
      </c>
      <c r="Q741" s="101">
        <f t="shared" si="187"/>
        <v>215180000</v>
      </c>
      <c r="R741" s="101">
        <f t="shared" si="188"/>
        <v>215180000</v>
      </c>
      <c r="S741" s="144" t="s">
        <v>56</v>
      </c>
      <c r="T741" s="151">
        <f t="shared" si="197"/>
        <v>0</v>
      </c>
      <c r="U741" s="27" t="str">
        <f t="shared" si="196"/>
        <v>SUBDIRECCION DE GESTION CONTRACTUAL</v>
      </c>
      <c r="V741" s="151" t="str">
        <f t="shared" si="192"/>
        <v>CO-DC</v>
      </c>
      <c r="W741" s="151" t="str">
        <f t="shared" si="193"/>
        <v>Distrito Capital de Bogotá</v>
      </c>
      <c r="X741" s="131" t="s">
        <v>829</v>
      </c>
      <c r="Y741" s="104">
        <v>2427400</v>
      </c>
      <c r="Z741" s="133" t="s">
        <v>830</v>
      </c>
    </row>
    <row r="742" spans="1:26" s="61" customFormat="1" ht="13.9" hidden="1" customHeight="1" x14ac:dyDescent="0.2">
      <c r="A742" s="171" t="s">
        <v>824</v>
      </c>
      <c r="B742" s="104">
        <v>61</v>
      </c>
      <c r="C742" s="134" t="s">
        <v>825</v>
      </c>
      <c r="D742" s="131" t="s">
        <v>826</v>
      </c>
      <c r="E742" s="132"/>
      <c r="F742" s="132">
        <v>6901188760</v>
      </c>
      <c r="G742" s="132"/>
      <c r="H742" s="131" t="s">
        <v>827</v>
      </c>
      <c r="I742" s="134" t="s">
        <v>890</v>
      </c>
      <c r="J742" s="104">
        <v>1</v>
      </c>
      <c r="K742" s="104">
        <v>1</v>
      </c>
      <c r="L742" s="104">
        <v>12</v>
      </c>
      <c r="M742" s="91">
        <f t="shared" si="195"/>
        <v>1</v>
      </c>
      <c r="N742" s="98" t="s">
        <v>64</v>
      </c>
      <c r="O742" s="99" t="s">
        <v>65</v>
      </c>
      <c r="P742" s="151">
        <f t="shared" si="194"/>
        <v>1</v>
      </c>
      <c r="Q742" s="101">
        <f t="shared" si="187"/>
        <v>6901188760</v>
      </c>
      <c r="R742" s="101">
        <f t="shared" si="188"/>
        <v>6901188760</v>
      </c>
      <c r="S742" s="144" t="s">
        <v>56</v>
      </c>
      <c r="T742" s="151">
        <f t="shared" si="197"/>
        <v>0</v>
      </c>
      <c r="U742" s="27" t="str">
        <f t="shared" si="196"/>
        <v>SUBDIRECCION DE GESTION CONTRACTUAL</v>
      </c>
      <c r="V742" s="151" t="str">
        <f t="shared" si="192"/>
        <v>CO-DC</v>
      </c>
      <c r="W742" s="151" t="str">
        <f t="shared" si="193"/>
        <v>Distrito Capital de Bogotá</v>
      </c>
      <c r="X742" s="131" t="s">
        <v>829</v>
      </c>
      <c r="Y742" s="104">
        <v>2427400</v>
      </c>
      <c r="Z742" s="133" t="s">
        <v>830</v>
      </c>
    </row>
    <row r="743" spans="1:26" s="5" customFormat="1" ht="12.75" hidden="1" customHeight="1" x14ac:dyDescent="0.2">
      <c r="A743" s="171" t="s">
        <v>824</v>
      </c>
      <c r="B743" s="104">
        <v>62</v>
      </c>
      <c r="C743" s="134" t="s">
        <v>825</v>
      </c>
      <c r="D743" s="131" t="s">
        <v>826</v>
      </c>
      <c r="E743" s="132"/>
      <c r="F743" s="132">
        <v>441215100</v>
      </c>
      <c r="G743" s="132"/>
      <c r="H743" s="131" t="s">
        <v>834</v>
      </c>
      <c r="I743" s="134" t="s">
        <v>891</v>
      </c>
      <c r="J743" s="104">
        <v>1</v>
      </c>
      <c r="K743" s="104">
        <v>1</v>
      </c>
      <c r="L743" s="104">
        <v>12</v>
      </c>
      <c r="M743" s="91">
        <f t="shared" si="195"/>
        <v>1</v>
      </c>
      <c r="N743" s="98" t="s">
        <v>64</v>
      </c>
      <c r="O743" s="99" t="s">
        <v>65</v>
      </c>
      <c r="P743" s="151">
        <f t="shared" si="194"/>
        <v>1</v>
      </c>
      <c r="Q743" s="101">
        <f t="shared" si="187"/>
        <v>441215100</v>
      </c>
      <c r="R743" s="101">
        <f t="shared" si="188"/>
        <v>441215100</v>
      </c>
      <c r="S743" s="144" t="s">
        <v>56</v>
      </c>
      <c r="T743" s="151">
        <f t="shared" si="197"/>
        <v>0</v>
      </c>
      <c r="U743" s="27" t="str">
        <f t="shared" si="196"/>
        <v>SUBDIRECCION DE GESTION CONTRACTUAL</v>
      </c>
      <c r="V743" s="151" t="str">
        <f t="shared" si="192"/>
        <v>CO-DC</v>
      </c>
      <c r="W743" s="151" t="str">
        <f t="shared" si="193"/>
        <v>Distrito Capital de Bogotá</v>
      </c>
      <c r="X743" s="131" t="s">
        <v>829</v>
      </c>
      <c r="Y743" s="104">
        <v>2427400</v>
      </c>
      <c r="Z743" s="133" t="s">
        <v>830</v>
      </c>
    </row>
    <row r="744" spans="1:26" s="5" customFormat="1" ht="12.75" hidden="1" customHeight="1" x14ac:dyDescent="0.2">
      <c r="A744" s="171" t="s">
        <v>824</v>
      </c>
      <c r="B744" s="104">
        <v>63</v>
      </c>
      <c r="C744" s="134" t="s">
        <v>825</v>
      </c>
      <c r="D744" s="131" t="s">
        <v>826</v>
      </c>
      <c r="E744" s="132"/>
      <c r="F744" s="132">
        <v>448224357</v>
      </c>
      <c r="G744" s="132"/>
      <c r="H744" s="131" t="s">
        <v>834</v>
      </c>
      <c r="I744" s="134" t="s">
        <v>892</v>
      </c>
      <c r="J744" s="104">
        <v>1</v>
      </c>
      <c r="K744" s="104">
        <v>1</v>
      </c>
      <c r="L744" s="104">
        <v>12</v>
      </c>
      <c r="M744" s="91">
        <f t="shared" si="195"/>
        <v>1</v>
      </c>
      <c r="N744" s="98" t="s">
        <v>64</v>
      </c>
      <c r="O744" s="99" t="s">
        <v>65</v>
      </c>
      <c r="P744" s="151">
        <f t="shared" si="194"/>
        <v>1</v>
      </c>
      <c r="Q744" s="101">
        <f t="shared" si="187"/>
        <v>448224357</v>
      </c>
      <c r="R744" s="101">
        <f t="shared" si="188"/>
        <v>448224357</v>
      </c>
      <c r="S744" s="144" t="s">
        <v>56</v>
      </c>
      <c r="T744" s="151">
        <f t="shared" si="197"/>
        <v>0</v>
      </c>
      <c r="U744" s="27" t="str">
        <f t="shared" si="196"/>
        <v>SUBDIRECCION DE GESTION CONTRACTUAL</v>
      </c>
      <c r="V744" s="151" t="str">
        <f t="shared" si="192"/>
        <v>CO-DC</v>
      </c>
      <c r="W744" s="151" t="str">
        <f t="shared" si="193"/>
        <v>Distrito Capital de Bogotá</v>
      </c>
      <c r="X744" s="131" t="s">
        <v>829</v>
      </c>
      <c r="Y744" s="104">
        <v>2427400</v>
      </c>
      <c r="Z744" s="133" t="s">
        <v>830</v>
      </c>
    </row>
    <row r="745" spans="1:26" s="5" customFormat="1" ht="12.75" hidden="1" customHeight="1" x14ac:dyDescent="0.2">
      <c r="A745" s="171" t="s">
        <v>824</v>
      </c>
      <c r="B745" s="104">
        <v>64</v>
      </c>
      <c r="C745" s="134" t="s">
        <v>825</v>
      </c>
      <c r="D745" s="131" t="s">
        <v>826</v>
      </c>
      <c r="E745" s="132"/>
      <c r="F745" s="132">
        <v>205000000</v>
      </c>
      <c r="G745" s="132"/>
      <c r="H745" s="131" t="s">
        <v>834</v>
      </c>
      <c r="I745" s="134" t="s">
        <v>893</v>
      </c>
      <c r="J745" s="104">
        <v>1</v>
      </c>
      <c r="K745" s="104">
        <v>1</v>
      </c>
      <c r="L745" s="104">
        <v>12</v>
      </c>
      <c r="M745" s="91">
        <f t="shared" si="195"/>
        <v>1</v>
      </c>
      <c r="N745" s="98" t="s">
        <v>64</v>
      </c>
      <c r="O745" s="99" t="s">
        <v>65</v>
      </c>
      <c r="P745" s="151">
        <f t="shared" si="194"/>
        <v>1</v>
      </c>
      <c r="Q745" s="101">
        <f t="shared" si="187"/>
        <v>205000000</v>
      </c>
      <c r="R745" s="101">
        <f t="shared" si="188"/>
        <v>205000000</v>
      </c>
      <c r="S745" s="144" t="s">
        <v>56</v>
      </c>
      <c r="T745" s="151">
        <f t="shared" si="197"/>
        <v>0</v>
      </c>
      <c r="U745" s="27" t="str">
        <f t="shared" si="196"/>
        <v>SUBDIRECCION DE GESTION CONTRACTUAL</v>
      </c>
      <c r="V745" s="151" t="str">
        <f t="shared" ref="V745:V776" si="198">IF(ISBLANK(N745),"","CO-DC")</f>
        <v>CO-DC</v>
      </c>
      <c r="W745" s="151" t="str">
        <f t="shared" ref="W745:W776" si="199">IF(ISBLANK(N745),"","Distrito Capital de Bogotá")</f>
        <v>Distrito Capital de Bogotá</v>
      </c>
      <c r="X745" s="131" t="s">
        <v>829</v>
      </c>
      <c r="Y745" s="104">
        <v>2427400</v>
      </c>
      <c r="Z745" s="133" t="s">
        <v>830</v>
      </c>
    </row>
    <row r="746" spans="1:26" s="5" customFormat="1" ht="12.75" hidden="1" customHeight="1" x14ac:dyDescent="0.2">
      <c r="A746" s="171" t="s">
        <v>824</v>
      </c>
      <c r="B746" s="104">
        <v>65</v>
      </c>
      <c r="C746" s="134" t="s">
        <v>825</v>
      </c>
      <c r="D746" s="131" t="s">
        <v>826</v>
      </c>
      <c r="E746" s="132"/>
      <c r="F746" s="132">
        <v>147071700</v>
      </c>
      <c r="G746" s="132"/>
      <c r="H746" s="131" t="s">
        <v>834</v>
      </c>
      <c r="I746" s="134" t="s">
        <v>894</v>
      </c>
      <c r="J746" s="104">
        <v>1</v>
      </c>
      <c r="K746" s="104">
        <v>1</v>
      </c>
      <c r="L746" s="104">
        <v>12</v>
      </c>
      <c r="M746" s="91">
        <f t="shared" si="195"/>
        <v>1</v>
      </c>
      <c r="N746" s="98" t="s">
        <v>64</v>
      </c>
      <c r="O746" s="99" t="s">
        <v>65</v>
      </c>
      <c r="P746" s="151">
        <f t="shared" ref="P746:P777" si="200">IF(ISBLANK(N746),"",1)</f>
        <v>1</v>
      </c>
      <c r="Q746" s="101">
        <f t="shared" si="187"/>
        <v>147071700</v>
      </c>
      <c r="R746" s="101">
        <f t="shared" si="188"/>
        <v>147071700</v>
      </c>
      <c r="S746" s="144" t="s">
        <v>56</v>
      </c>
      <c r="T746" s="151">
        <f t="shared" si="197"/>
        <v>0</v>
      </c>
      <c r="U746" s="27" t="str">
        <f t="shared" si="196"/>
        <v>SUBDIRECCION DE GESTION CONTRACTUAL</v>
      </c>
      <c r="V746" s="151" t="str">
        <f t="shared" si="198"/>
        <v>CO-DC</v>
      </c>
      <c r="W746" s="151" t="str">
        <f t="shared" si="199"/>
        <v>Distrito Capital de Bogotá</v>
      </c>
      <c r="X746" s="131" t="s">
        <v>829</v>
      </c>
      <c r="Y746" s="104">
        <v>2427400</v>
      </c>
      <c r="Z746" s="133" t="s">
        <v>830</v>
      </c>
    </row>
    <row r="747" spans="1:26" s="5" customFormat="1" ht="12.75" hidden="1" customHeight="1" x14ac:dyDescent="0.2">
      <c r="A747" s="171" t="s">
        <v>824</v>
      </c>
      <c r="B747" s="104">
        <v>66</v>
      </c>
      <c r="C747" s="134" t="s">
        <v>825</v>
      </c>
      <c r="D747" s="131" t="s">
        <v>826</v>
      </c>
      <c r="E747" s="132"/>
      <c r="F747" s="132">
        <v>1234271534</v>
      </c>
      <c r="G747" s="132"/>
      <c r="H747" s="131" t="s">
        <v>827</v>
      </c>
      <c r="I747" s="134" t="s">
        <v>895</v>
      </c>
      <c r="J747" s="104">
        <v>1</v>
      </c>
      <c r="K747" s="104">
        <v>1</v>
      </c>
      <c r="L747" s="104">
        <v>12</v>
      </c>
      <c r="M747" s="91">
        <f t="shared" si="195"/>
        <v>1</v>
      </c>
      <c r="N747" s="98" t="s">
        <v>64</v>
      </c>
      <c r="O747" s="99" t="s">
        <v>65</v>
      </c>
      <c r="P747" s="151">
        <f t="shared" si="200"/>
        <v>1</v>
      </c>
      <c r="Q747" s="101">
        <f t="shared" si="187"/>
        <v>1234271534</v>
      </c>
      <c r="R747" s="101">
        <f t="shared" si="188"/>
        <v>1234271534</v>
      </c>
      <c r="S747" s="144" t="s">
        <v>56</v>
      </c>
      <c r="T747" s="151">
        <f t="shared" si="197"/>
        <v>0</v>
      </c>
      <c r="U747" s="27" t="str">
        <f t="shared" si="196"/>
        <v>SUBDIRECCION DE GESTION CONTRACTUAL</v>
      </c>
      <c r="V747" s="151" t="str">
        <f t="shared" si="198"/>
        <v>CO-DC</v>
      </c>
      <c r="W747" s="151" t="str">
        <f t="shared" si="199"/>
        <v>Distrito Capital de Bogotá</v>
      </c>
      <c r="X747" s="131" t="s">
        <v>829</v>
      </c>
      <c r="Y747" s="104">
        <v>2427400</v>
      </c>
      <c r="Z747" s="133" t="s">
        <v>830</v>
      </c>
    </row>
    <row r="748" spans="1:26" s="61" customFormat="1" ht="13.9" hidden="1" customHeight="1" x14ac:dyDescent="0.2">
      <c r="A748" s="171" t="s">
        <v>824</v>
      </c>
      <c r="B748" s="104">
        <v>67</v>
      </c>
      <c r="C748" s="134" t="s">
        <v>825</v>
      </c>
      <c r="D748" s="131" t="s">
        <v>826</v>
      </c>
      <c r="E748" s="132"/>
      <c r="F748" s="132">
        <v>147071700</v>
      </c>
      <c r="G748" s="132"/>
      <c r="H748" s="131" t="s">
        <v>834</v>
      </c>
      <c r="I748" s="134" t="s">
        <v>896</v>
      </c>
      <c r="J748" s="104">
        <v>1</v>
      </c>
      <c r="K748" s="104">
        <v>1</v>
      </c>
      <c r="L748" s="104">
        <v>12</v>
      </c>
      <c r="M748" s="91">
        <f t="shared" si="195"/>
        <v>1</v>
      </c>
      <c r="N748" s="98" t="s">
        <v>64</v>
      </c>
      <c r="O748" s="99" t="s">
        <v>65</v>
      </c>
      <c r="P748" s="151">
        <f t="shared" si="200"/>
        <v>1</v>
      </c>
      <c r="Q748" s="101">
        <f t="shared" si="187"/>
        <v>147071700</v>
      </c>
      <c r="R748" s="101">
        <f t="shared" si="188"/>
        <v>147071700</v>
      </c>
      <c r="S748" s="144" t="s">
        <v>56</v>
      </c>
      <c r="T748" s="151">
        <f t="shared" si="197"/>
        <v>0</v>
      </c>
      <c r="U748" s="27" t="str">
        <f t="shared" si="196"/>
        <v>SUBDIRECCION DE GESTION CONTRACTUAL</v>
      </c>
      <c r="V748" s="151" t="str">
        <f t="shared" si="198"/>
        <v>CO-DC</v>
      </c>
      <c r="W748" s="151" t="str">
        <f t="shared" si="199"/>
        <v>Distrito Capital de Bogotá</v>
      </c>
      <c r="X748" s="131" t="s">
        <v>829</v>
      </c>
      <c r="Y748" s="104">
        <v>2427400</v>
      </c>
      <c r="Z748" s="133" t="s">
        <v>830</v>
      </c>
    </row>
    <row r="749" spans="1:26" s="61" customFormat="1" ht="13.9" hidden="1" customHeight="1" x14ac:dyDescent="0.2">
      <c r="A749" s="171" t="s">
        <v>824</v>
      </c>
      <c r="B749" s="104">
        <v>68</v>
      </c>
      <c r="C749" s="134" t="s">
        <v>825</v>
      </c>
      <c r="D749" s="131" t="s">
        <v>826</v>
      </c>
      <c r="E749" s="132"/>
      <c r="F749" s="132">
        <v>700000000</v>
      </c>
      <c r="G749" s="132"/>
      <c r="H749" s="131" t="s">
        <v>834</v>
      </c>
      <c r="I749" s="134" t="s">
        <v>897</v>
      </c>
      <c r="J749" s="104">
        <v>1</v>
      </c>
      <c r="K749" s="104">
        <v>1</v>
      </c>
      <c r="L749" s="104">
        <v>12</v>
      </c>
      <c r="M749" s="91">
        <f t="shared" si="195"/>
        <v>1</v>
      </c>
      <c r="N749" s="98" t="s">
        <v>64</v>
      </c>
      <c r="O749" s="99" t="s">
        <v>65</v>
      </c>
      <c r="P749" s="151">
        <f t="shared" si="200"/>
        <v>1</v>
      </c>
      <c r="Q749" s="101">
        <f t="shared" si="187"/>
        <v>700000000</v>
      </c>
      <c r="R749" s="101">
        <f t="shared" si="188"/>
        <v>700000000</v>
      </c>
      <c r="S749" s="144" t="s">
        <v>56</v>
      </c>
      <c r="T749" s="151">
        <f t="shared" si="197"/>
        <v>0</v>
      </c>
      <c r="U749" s="27" t="str">
        <f t="shared" si="196"/>
        <v>SUBDIRECCION DE GESTION CONTRACTUAL</v>
      </c>
      <c r="V749" s="151" t="str">
        <f t="shared" si="198"/>
        <v>CO-DC</v>
      </c>
      <c r="W749" s="151" t="str">
        <f t="shared" si="199"/>
        <v>Distrito Capital de Bogotá</v>
      </c>
      <c r="X749" s="131" t="s">
        <v>829</v>
      </c>
      <c r="Y749" s="104">
        <v>2427400</v>
      </c>
      <c r="Z749" s="133" t="s">
        <v>830</v>
      </c>
    </row>
    <row r="750" spans="1:26" s="61" customFormat="1" ht="13.9" hidden="1" customHeight="1" x14ac:dyDescent="0.2">
      <c r="A750" s="171" t="s">
        <v>824</v>
      </c>
      <c r="B750" s="104">
        <v>69</v>
      </c>
      <c r="C750" s="134" t="s">
        <v>825</v>
      </c>
      <c r="D750" s="131" t="s">
        <v>826</v>
      </c>
      <c r="E750" s="132"/>
      <c r="F750" s="132">
        <v>1025000000</v>
      </c>
      <c r="G750" s="132"/>
      <c r="H750" s="131" t="s">
        <v>834</v>
      </c>
      <c r="I750" s="134" t="s">
        <v>898</v>
      </c>
      <c r="J750" s="104">
        <v>1</v>
      </c>
      <c r="K750" s="104">
        <v>1</v>
      </c>
      <c r="L750" s="104">
        <v>12</v>
      </c>
      <c r="M750" s="91">
        <f t="shared" si="195"/>
        <v>1</v>
      </c>
      <c r="N750" s="98" t="s">
        <v>64</v>
      </c>
      <c r="O750" s="99" t="s">
        <v>65</v>
      </c>
      <c r="P750" s="151">
        <f t="shared" si="200"/>
        <v>1</v>
      </c>
      <c r="Q750" s="101">
        <f t="shared" si="187"/>
        <v>1025000000</v>
      </c>
      <c r="R750" s="101">
        <f t="shared" si="188"/>
        <v>1025000000</v>
      </c>
      <c r="S750" s="144" t="s">
        <v>56</v>
      </c>
      <c r="T750" s="151">
        <f t="shared" si="197"/>
        <v>0</v>
      </c>
      <c r="U750" s="27" t="str">
        <f t="shared" si="196"/>
        <v>SUBDIRECCION DE GESTION CONTRACTUAL</v>
      </c>
      <c r="V750" s="151" t="str">
        <f t="shared" si="198"/>
        <v>CO-DC</v>
      </c>
      <c r="W750" s="151" t="str">
        <f t="shared" si="199"/>
        <v>Distrito Capital de Bogotá</v>
      </c>
      <c r="X750" s="131" t="s">
        <v>829</v>
      </c>
      <c r="Y750" s="104">
        <v>2427400</v>
      </c>
      <c r="Z750" s="133" t="s">
        <v>830</v>
      </c>
    </row>
    <row r="751" spans="1:26" s="61" customFormat="1" ht="13.9" hidden="1" customHeight="1" x14ac:dyDescent="0.2">
      <c r="A751" s="171" t="s">
        <v>824</v>
      </c>
      <c r="B751" s="104">
        <v>70</v>
      </c>
      <c r="C751" s="134" t="s">
        <v>825</v>
      </c>
      <c r="D751" s="131" t="s">
        <v>826</v>
      </c>
      <c r="E751" s="132"/>
      <c r="F751" s="132">
        <v>305440000</v>
      </c>
      <c r="G751" s="132"/>
      <c r="H751" s="131" t="s">
        <v>834</v>
      </c>
      <c r="I751" s="134" t="s">
        <v>899</v>
      </c>
      <c r="J751" s="104">
        <v>1</v>
      </c>
      <c r="K751" s="104">
        <v>1</v>
      </c>
      <c r="L751" s="104">
        <v>12</v>
      </c>
      <c r="M751" s="91">
        <f t="shared" si="195"/>
        <v>1</v>
      </c>
      <c r="N751" s="98" t="s">
        <v>64</v>
      </c>
      <c r="O751" s="99" t="s">
        <v>65</v>
      </c>
      <c r="P751" s="151">
        <f t="shared" si="200"/>
        <v>1</v>
      </c>
      <c r="Q751" s="101">
        <f t="shared" si="187"/>
        <v>305440000</v>
      </c>
      <c r="R751" s="101">
        <f t="shared" si="188"/>
        <v>305440000</v>
      </c>
      <c r="S751" s="144" t="s">
        <v>56</v>
      </c>
      <c r="T751" s="151">
        <f t="shared" si="197"/>
        <v>0</v>
      </c>
      <c r="U751" s="27" t="str">
        <f t="shared" si="196"/>
        <v>SUBDIRECCION DE GESTION CONTRACTUAL</v>
      </c>
      <c r="V751" s="151" t="str">
        <f t="shared" si="198"/>
        <v>CO-DC</v>
      </c>
      <c r="W751" s="151" t="str">
        <f t="shared" si="199"/>
        <v>Distrito Capital de Bogotá</v>
      </c>
      <c r="X751" s="131" t="s">
        <v>829</v>
      </c>
      <c r="Y751" s="104">
        <v>2427400</v>
      </c>
      <c r="Z751" s="133" t="s">
        <v>830</v>
      </c>
    </row>
    <row r="752" spans="1:26" s="61" customFormat="1" ht="13.9" hidden="1" customHeight="1" x14ac:dyDescent="0.2">
      <c r="A752" s="171" t="s">
        <v>824</v>
      </c>
      <c r="B752" s="104">
        <v>71</v>
      </c>
      <c r="C752" s="134" t="s">
        <v>825</v>
      </c>
      <c r="D752" s="131" t="s">
        <v>826</v>
      </c>
      <c r="E752" s="132"/>
      <c r="F752" s="132">
        <v>305440000</v>
      </c>
      <c r="G752" s="132"/>
      <c r="H752" s="131" t="s">
        <v>834</v>
      </c>
      <c r="I752" s="134" t="s">
        <v>900</v>
      </c>
      <c r="J752" s="104">
        <v>1</v>
      </c>
      <c r="K752" s="104">
        <v>1</v>
      </c>
      <c r="L752" s="104">
        <v>12</v>
      </c>
      <c r="M752" s="91">
        <f t="shared" si="195"/>
        <v>1</v>
      </c>
      <c r="N752" s="98" t="s">
        <v>64</v>
      </c>
      <c r="O752" s="99" t="s">
        <v>65</v>
      </c>
      <c r="P752" s="151">
        <f t="shared" si="200"/>
        <v>1</v>
      </c>
      <c r="Q752" s="101">
        <f t="shared" si="187"/>
        <v>305440000</v>
      </c>
      <c r="R752" s="101">
        <f t="shared" si="188"/>
        <v>305440000</v>
      </c>
      <c r="S752" s="144" t="s">
        <v>56</v>
      </c>
      <c r="T752" s="151">
        <f t="shared" si="197"/>
        <v>0</v>
      </c>
      <c r="U752" s="27" t="str">
        <f t="shared" si="196"/>
        <v>SUBDIRECCION DE GESTION CONTRACTUAL</v>
      </c>
      <c r="V752" s="151" t="str">
        <f t="shared" si="198"/>
        <v>CO-DC</v>
      </c>
      <c r="W752" s="151" t="str">
        <f t="shared" si="199"/>
        <v>Distrito Capital de Bogotá</v>
      </c>
      <c r="X752" s="131" t="s">
        <v>829</v>
      </c>
      <c r="Y752" s="104">
        <v>2427400</v>
      </c>
      <c r="Z752" s="133" t="s">
        <v>830</v>
      </c>
    </row>
    <row r="753" spans="1:26" s="61" customFormat="1" ht="13.9" hidden="1" customHeight="1" x14ac:dyDescent="0.2">
      <c r="A753" s="171" t="s">
        <v>824</v>
      </c>
      <c r="B753" s="104">
        <v>72</v>
      </c>
      <c r="C753" s="134" t="s">
        <v>825</v>
      </c>
      <c r="D753" s="131" t="s">
        <v>826</v>
      </c>
      <c r="E753" s="132"/>
      <c r="F753" s="132">
        <v>250000000</v>
      </c>
      <c r="G753" s="132"/>
      <c r="H753" s="131" t="s">
        <v>834</v>
      </c>
      <c r="I753" s="134" t="s">
        <v>901</v>
      </c>
      <c r="J753" s="104">
        <v>1</v>
      </c>
      <c r="K753" s="104">
        <v>1</v>
      </c>
      <c r="L753" s="104">
        <v>12</v>
      </c>
      <c r="M753" s="91">
        <f t="shared" si="195"/>
        <v>1</v>
      </c>
      <c r="N753" s="98" t="s">
        <v>64</v>
      </c>
      <c r="O753" s="99" t="s">
        <v>65</v>
      </c>
      <c r="P753" s="151">
        <f t="shared" si="200"/>
        <v>1</v>
      </c>
      <c r="Q753" s="101">
        <f t="shared" si="187"/>
        <v>250000000</v>
      </c>
      <c r="R753" s="101">
        <f t="shared" si="188"/>
        <v>250000000</v>
      </c>
      <c r="S753" s="144" t="s">
        <v>56</v>
      </c>
      <c r="T753" s="151">
        <f t="shared" si="197"/>
        <v>0</v>
      </c>
      <c r="U753" s="27" t="str">
        <f t="shared" si="196"/>
        <v>SUBDIRECCION DE GESTION CONTRACTUAL</v>
      </c>
      <c r="V753" s="151" t="str">
        <f t="shared" si="198"/>
        <v>CO-DC</v>
      </c>
      <c r="W753" s="151" t="str">
        <f t="shared" si="199"/>
        <v>Distrito Capital de Bogotá</v>
      </c>
      <c r="X753" s="131" t="s">
        <v>829</v>
      </c>
      <c r="Y753" s="104">
        <v>2427400</v>
      </c>
      <c r="Z753" s="133" t="s">
        <v>830</v>
      </c>
    </row>
    <row r="754" spans="1:26" s="61" customFormat="1" ht="13.9" hidden="1" customHeight="1" x14ac:dyDescent="0.2">
      <c r="A754" s="171" t="s">
        <v>824</v>
      </c>
      <c r="B754" s="104">
        <v>73</v>
      </c>
      <c r="C754" s="134" t="s">
        <v>825</v>
      </c>
      <c r="D754" s="131" t="s">
        <v>826</v>
      </c>
      <c r="E754" s="132"/>
      <c r="F754" s="132">
        <v>250000000</v>
      </c>
      <c r="G754" s="132"/>
      <c r="H754" s="131" t="s">
        <v>834</v>
      </c>
      <c r="I754" s="134" t="s">
        <v>902</v>
      </c>
      <c r="J754" s="104">
        <v>1</v>
      </c>
      <c r="K754" s="104">
        <v>1</v>
      </c>
      <c r="L754" s="104">
        <v>12</v>
      </c>
      <c r="M754" s="91">
        <f t="shared" si="195"/>
        <v>1</v>
      </c>
      <c r="N754" s="98" t="s">
        <v>64</v>
      </c>
      <c r="O754" s="99" t="s">
        <v>65</v>
      </c>
      <c r="P754" s="151">
        <f t="shared" si="200"/>
        <v>1</v>
      </c>
      <c r="Q754" s="101">
        <f t="shared" ref="Q754:Q802" si="201">+E754+F754+G754</f>
        <v>250000000</v>
      </c>
      <c r="R754" s="101">
        <f t="shared" ref="R754:R802" si="202">+F754</f>
        <v>250000000</v>
      </c>
      <c r="S754" s="144" t="s">
        <v>56</v>
      </c>
      <c r="T754" s="151">
        <f t="shared" si="197"/>
        <v>0</v>
      </c>
      <c r="U754" s="27" t="str">
        <f t="shared" si="196"/>
        <v>SUBDIRECCION DE GESTION CONTRACTUAL</v>
      </c>
      <c r="V754" s="151" t="str">
        <f t="shared" si="198"/>
        <v>CO-DC</v>
      </c>
      <c r="W754" s="151" t="str">
        <f t="shared" si="199"/>
        <v>Distrito Capital de Bogotá</v>
      </c>
      <c r="X754" s="131" t="s">
        <v>829</v>
      </c>
      <c r="Y754" s="104">
        <v>2427400</v>
      </c>
      <c r="Z754" s="133" t="s">
        <v>830</v>
      </c>
    </row>
    <row r="755" spans="1:26" s="61" customFormat="1" ht="13.9" hidden="1" customHeight="1" x14ac:dyDescent="0.2">
      <c r="A755" s="171" t="s">
        <v>824</v>
      </c>
      <c r="B755" s="104">
        <v>74</v>
      </c>
      <c r="C755" s="134" t="s">
        <v>825</v>
      </c>
      <c r="D755" s="131" t="s">
        <v>826</v>
      </c>
      <c r="E755" s="132"/>
      <c r="F755" s="132">
        <v>700000000</v>
      </c>
      <c r="G755" s="132"/>
      <c r="H755" s="131" t="s">
        <v>834</v>
      </c>
      <c r="I755" s="134" t="s">
        <v>903</v>
      </c>
      <c r="J755" s="104">
        <v>1</v>
      </c>
      <c r="K755" s="104">
        <v>1</v>
      </c>
      <c r="L755" s="104">
        <v>12</v>
      </c>
      <c r="M755" s="91">
        <f t="shared" si="195"/>
        <v>1</v>
      </c>
      <c r="N755" s="98" t="s">
        <v>64</v>
      </c>
      <c r="O755" s="99" t="s">
        <v>65</v>
      </c>
      <c r="P755" s="151">
        <f t="shared" si="200"/>
        <v>1</v>
      </c>
      <c r="Q755" s="101">
        <f t="shared" si="201"/>
        <v>700000000</v>
      </c>
      <c r="R755" s="101">
        <f t="shared" si="202"/>
        <v>700000000</v>
      </c>
      <c r="S755" s="144" t="s">
        <v>56</v>
      </c>
      <c r="T755" s="151">
        <f t="shared" si="197"/>
        <v>0</v>
      </c>
      <c r="U755" s="27" t="str">
        <f t="shared" si="196"/>
        <v>SUBDIRECCION DE GESTION CONTRACTUAL</v>
      </c>
      <c r="V755" s="151" t="str">
        <f t="shared" si="198"/>
        <v>CO-DC</v>
      </c>
      <c r="W755" s="151" t="str">
        <f t="shared" si="199"/>
        <v>Distrito Capital de Bogotá</v>
      </c>
      <c r="X755" s="131" t="s">
        <v>829</v>
      </c>
      <c r="Y755" s="104">
        <v>2427400</v>
      </c>
      <c r="Z755" s="133" t="s">
        <v>830</v>
      </c>
    </row>
    <row r="756" spans="1:26" s="61" customFormat="1" ht="13.9" hidden="1" customHeight="1" x14ac:dyDescent="0.2">
      <c r="A756" s="171" t="s">
        <v>824</v>
      </c>
      <c r="B756" s="104">
        <v>75</v>
      </c>
      <c r="C756" s="134" t="s">
        <v>825</v>
      </c>
      <c r="D756" s="131" t="s">
        <v>826</v>
      </c>
      <c r="E756" s="132"/>
      <c r="F756" s="132">
        <v>250000000</v>
      </c>
      <c r="G756" s="132"/>
      <c r="H756" s="131" t="s">
        <v>834</v>
      </c>
      <c r="I756" s="134" t="s">
        <v>904</v>
      </c>
      <c r="J756" s="104">
        <v>1</v>
      </c>
      <c r="K756" s="104">
        <v>1</v>
      </c>
      <c r="L756" s="104">
        <v>12</v>
      </c>
      <c r="M756" s="91">
        <f t="shared" si="195"/>
        <v>1</v>
      </c>
      <c r="N756" s="98" t="s">
        <v>64</v>
      </c>
      <c r="O756" s="99" t="s">
        <v>65</v>
      </c>
      <c r="P756" s="151">
        <f t="shared" si="200"/>
        <v>1</v>
      </c>
      <c r="Q756" s="101">
        <f t="shared" si="201"/>
        <v>250000000</v>
      </c>
      <c r="R756" s="101">
        <f t="shared" si="202"/>
        <v>250000000</v>
      </c>
      <c r="S756" s="144" t="s">
        <v>56</v>
      </c>
      <c r="T756" s="151">
        <f t="shared" si="197"/>
        <v>0</v>
      </c>
      <c r="U756" s="27" t="str">
        <f t="shared" si="196"/>
        <v>SUBDIRECCION DE GESTION CONTRACTUAL</v>
      </c>
      <c r="V756" s="151" t="str">
        <f t="shared" si="198"/>
        <v>CO-DC</v>
      </c>
      <c r="W756" s="151" t="str">
        <f t="shared" si="199"/>
        <v>Distrito Capital de Bogotá</v>
      </c>
      <c r="X756" s="131" t="s">
        <v>829</v>
      </c>
      <c r="Y756" s="104">
        <v>2427400</v>
      </c>
      <c r="Z756" s="133" t="s">
        <v>830</v>
      </c>
    </row>
    <row r="757" spans="1:26" s="5" customFormat="1" ht="12.75" hidden="1" customHeight="1" x14ac:dyDescent="0.2">
      <c r="A757" s="171" t="s">
        <v>824</v>
      </c>
      <c r="B757" s="104">
        <v>76</v>
      </c>
      <c r="C757" s="134" t="s">
        <v>825</v>
      </c>
      <c r="D757" s="131" t="s">
        <v>826</v>
      </c>
      <c r="E757" s="132"/>
      <c r="F757" s="132">
        <v>205000000</v>
      </c>
      <c r="G757" s="132"/>
      <c r="H757" s="131" t="s">
        <v>834</v>
      </c>
      <c r="I757" s="134" t="s">
        <v>905</v>
      </c>
      <c r="J757" s="104">
        <v>1</v>
      </c>
      <c r="K757" s="104">
        <v>1</v>
      </c>
      <c r="L757" s="104">
        <v>12</v>
      </c>
      <c r="M757" s="91">
        <f t="shared" si="195"/>
        <v>1</v>
      </c>
      <c r="N757" s="98" t="s">
        <v>64</v>
      </c>
      <c r="O757" s="99" t="s">
        <v>65</v>
      </c>
      <c r="P757" s="151">
        <f t="shared" si="200"/>
        <v>1</v>
      </c>
      <c r="Q757" s="101">
        <f t="shared" si="201"/>
        <v>205000000</v>
      </c>
      <c r="R757" s="101">
        <f t="shared" si="202"/>
        <v>205000000</v>
      </c>
      <c r="S757" s="144" t="s">
        <v>56</v>
      </c>
      <c r="T757" s="151">
        <f t="shared" si="197"/>
        <v>0</v>
      </c>
      <c r="U757" s="27" t="str">
        <f t="shared" si="196"/>
        <v>SUBDIRECCION DE GESTION CONTRACTUAL</v>
      </c>
      <c r="V757" s="151" t="str">
        <f t="shared" si="198"/>
        <v>CO-DC</v>
      </c>
      <c r="W757" s="151" t="str">
        <f t="shared" si="199"/>
        <v>Distrito Capital de Bogotá</v>
      </c>
      <c r="X757" s="131" t="s">
        <v>829</v>
      </c>
      <c r="Y757" s="104">
        <v>2427400</v>
      </c>
      <c r="Z757" s="133" t="s">
        <v>830</v>
      </c>
    </row>
    <row r="758" spans="1:26" s="5" customFormat="1" ht="12.75" hidden="1" customHeight="1" x14ac:dyDescent="0.2">
      <c r="A758" s="171" t="s">
        <v>824</v>
      </c>
      <c r="B758" s="104">
        <v>77</v>
      </c>
      <c r="C758" s="134" t="s">
        <v>825</v>
      </c>
      <c r="D758" s="131" t="s">
        <v>826</v>
      </c>
      <c r="E758" s="132"/>
      <c r="F758" s="132">
        <v>250000000</v>
      </c>
      <c r="G758" s="132"/>
      <c r="H758" s="131" t="s">
        <v>834</v>
      </c>
      <c r="I758" s="134" t="s">
        <v>906</v>
      </c>
      <c r="J758" s="104">
        <v>1</v>
      </c>
      <c r="K758" s="104">
        <v>1</v>
      </c>
      <c r="L758" s="104">
        <v>12</v>
      </c>
      <c r="M758" s="91">
        <f t="shared" si="195"/>
        <v>1</v>
      </c>
      <c r="N758" s="98" t="s">
        <v>64</v>
      </c>
      <c r="O758" s="99" t="s">
        <v>65</v>
      </c>
      <c r="P758" s="151">
        <f t="shared" si="200"/>
        <v>1</v>
      </c>
      <c r="Q758" s="101">
        <f t="shared" si="201"/>
        <v>250000000</v>
      </c>
      <c r="R758" s="101">
        <f t="shared" si="202"/>
        <v>250000000</v>
      </c>
      <c r="S758" s="144" t="s">
        <v>56</v>
      </c>
      <c r="T758" s="151">
        <f t="shared" si="197"/>
        <v>0</v>
      </c>
      <c r="U758" s="27" t="str">
        <f t="shared" si="196"/>
        <v>SUBDIRECCION DE GESTION CONTRACTUAL</v>
      </c>
      <c r="V758" s="151" t="str">
        <f t="shared" si="198"/>
        <v>CO-DC</v>
      </c>
      <c r="W758" s="151" t="str">
        <f t="shared" si="199"/>
        <v>Distrito Capital de Bogotá</v>
      </c>
      <c r="X758" s="131" t="s">
        <v>829</v>
      </c>
      <c r="Y758" s="104">
        <v>2427400</v>
      </c>
      <c r="Z758" s="133" t="s">
        <v>830</v>
      </c>
    </row>
    <row r="759" spans="1:26" s="5" customFormat="1" ht="12.75" hidden="1" customHeight="1" x14ac:dyDescent="0.2">
      <c r="A759" s="171" t="s">
        <v>824</v>
      </c>
      <c r="B759" s="104">
        <v>78</v>
      </c>
      <c r="C759" s="134" t="s">
        <v>825</v>
      </c>
      <c r="D759" s="131" t="s">
        <v>826</v>
      </c>
      <c r="E759" s="132"/>
      <c r="F759" s="132">
        <v>140000000</v>
      </c>
      <c r="G759" s="132"/>
      <c r="H759" s="131" t="s">
        <v>834</v>
      </c>
      <c r="I759" s="134" t="s">
        <v>907</v>
      </c>
      <c r="J759" s="104">
        <v>1</v>
      </c>
      <c r="K759" s="104">
        <v>1</v>
      </c>
      <c r="L759" s="104">
        <v>12</v>
      </c>
      <c r="M759" s="91">
        <f t="shared" si="195"/>
        <v>1</v>
      </c>
      <c r="N759" s="98" t="s">
        <v>64</v>
      </c>
      <c r="O759" s="99" t="s">
        <v>65</v>
      </c>
      <c r="P759" s="151">
        <f t="shared" si="200"/>
        <v>1</v>
      </c>
      <c r="Q759" s="101">
        <f t="shared" si="201"/>
        <v>140000000</v>
      </c>
      <c r="R759" s="101">
        <f t="shared" si="202"/>
        <v>140000000</v>
      </c>
      <c r="S759" s="144" t="s">
        <v>56</v>
      </c>
      <c r="T759" s="151">
        <f t="shared" si="197"/>
        <v>0</v>
      </c>
      <c r="U759" s="27" t="str">
        <f t="shared" si="196"/>
        <v>SUBDIRECCION DE GESTION CONTRACTUAL</v>
      </c>
      <c r="V759" s="151" t="str">
        <f t="shared" si="198"/>
        <v>CO-DC</v>
      </c>
      <c r="W759" s="151" t="str">
        <f t="shared" si="199"/>
        <v>Distrito Capital de Bogotá</v>
      </c>
      <c r="X759" s="131" t="s">
        <v>829</v>
      </c>
      <c r="Y759" s="104">
        <v>2427400</v>
      </c>
      <c r="Z759" s="133" t="s">
        <v>830</v>
      </c>
    </row>
    <row r="760" spans="1:26" s="5" customFormat="1" ht="12.75" hidden="1" customHeight="1" x14ac:dyDescent="0.2">
      <c r="A760" s="171" t="s">
        <v>824</v>
      </c>
      <c r="B760" s="104">
        <v>79</v>
      </c>
      <c r="C760" s="134" t="s">
        <v>825</v>
      </c>
      <c r="D760" s="131" t="s">
        <v>826</v>
      </c>
      <c r="E760" s="132"/>
      <c r="F760" s="132">
        <v>14266808955</v>
      </c>
      <c r="G760" s="132"/>
      <c r="H760" s="131" t="s">
        <v>827</v>
      </c>
      <c r="I760" s="134" t="s">
        <v>908</v>
      </c>
      <c r="J760" s="104">
        <v>1</v>
      </c>
      <c r="K760" s="104">
        <v>1</v>
      </c>
      <c r="L760" s="104">
        <v>12</v>
      </c>
      <c r="M760" s="91">
        <f t="shared" si="195"/>
        <v>1</v>
      </c>
      <c r="N760" s="98" t="s">
        <v>64</v>
      </c>
      <c r="O760" s="99" t="s">
        <v>65</v>
      </c>
      <c r="P760" s="151">
        <f t="shared" si="200"/>
        <v>1</v>
      </c>
      <c r="Q760" s="101">
        <f t="shared" si="201"/>
        <v>14266808955</v>
      </c>
      <c r="R760" s="101">
        <f t="shared" si="202"/>
        <v>14266808955</v>
      </c>
      <c r="S760" s="144" t="s">
        <v>56</v>
      </c>
      <c r="T760" s="151">
        <f t="shared" si="197"/>
        <v>0</v>
      </c>
      <c r="U760" s="27" t="str">
        <f t="shared" si="196"/>
        <v>SUBDIRECCION DE GESTION CONTRACTUAL</v>
      </c>
      <c r="V760" s="151" t="str">
        <f t="shared" si="198"/>
        <v>CO-DC</v>
      </c>
      <c r="W760" s="151" t="str">
        <f t="shared" si="199"/>
        <v>Distrito Capital de Bogotá</v>
      </c>
      <c r="X760" s="131" t="s">
        <v>829</v>
      </c>
      <c r="Y760" s="104">
        <v>2427400</v>
      </c>
      <c r="Z760" s="133" t="s">
        <v>830</v>
      </c>
    </row>
    <row r="761" spans="1:26" s="5" customFormat="1" ht="12.75" hidden="1" customHeight="1" x14ac:dyDescent="0.2">
      <c r="A761" s="171" t="s">
        <v>824</v>
      </c>
      <c r="B761" s="104">
        <v>80</v>
      </c>
      <c r="C761" s="134" t="s">
        <v>825</v>
      </c>
      <c r="D761" s="131" t="s">
        <v>826</v>
      </c>
      <c r="E761" s="132"/>
      <c r="F761" s="132">
        <v>2038115564</v>
      </c>
      <c r="G761" s="132"/>
      <c r="H761" s="131" t="s">
        <v>827</v>
      </c>
      <c r="I761" s="134" t="s">
        <v>908</v>
      </c>
      <c r="J761" s="104">
        <v>1</v>
      </c>
      <c r="K761" s="104">
        <v>1</v>
      </c>
      <c r="L761" s="104">
        <v>12</v>
      </c>
      <c r="M761" s="91">
        <f t="shared" si="195"/>
        <v>1</v>
      </c>
      <c r="N761" s="98" t="s">
        <v>64</v>
      </c>
      <c r="O761" s="99" t="s">
        <v>65</v>
      </c>
      <c r="P761" s="151">
        <f t="shared" si="200"/>
        <v>1</v>
      </c>
      <c r="Q761" s="101">
        <f t="shared" si="201"/>
        <v>2038115564</v>
      </c>
      <c r="R761" s="101">
        <f t="shared" si="202"/>
        <v>2038115564</v>
      </c>
      <c r="S761" s="144" t="s">
        <v>56</v>
      </c>
      <c r="T761" s="151">
        <f t="shared" si="197"/>
        <v>0</v>
      </c>
      <c r="U761" s="27" t="str">
        <f t="shared" si="196"/>
        <v>SUBDIRECCION DE GESTION CONTRACTUAL</v>
      </c>
      <c r="V761" s="151" t="str">
        <f t="shared" si="198"/>
        <v>CO-DC</v>
      </c>
      <c r="W761" s="151" t="str">
        <f t="shared" si="199"/>
        <v>Distrito Capital de Bogotá</v>
      </c>
      <c r="X761" s="131" t="s">
        <v>829</v>
      </c>
      <c r="Y761" s="104">
        <v>2427400</v>
      </c>
      <c r="Z761" s="133" t="s">
        <v>830</v>
      </c>
    </row>
    <row r="762" spans="1:26" s="5" customFormat="1" ht="12.75" hidden="1" customHeight="1" x14ac:dyDescent="0.2">
      <c r="A762" s="171" t="s">
        <v>824</v>
      </c>
      <c r="B762" s="104">
        <v>81</v>
      </c>
      <c r="C762" s="134" t="s">
        <v>825</v>
      </c>
      <c r="D762" s="131" t="s">
        <v>826</v>
      </c>
      <c r="E762" s="132"/>
      <c r="F762" s="132">
        <v>305440000</v>
      </c>
      <c r="G762" s="132"/>
      <c r="H762" s="131" t="s">
        <v>834</v>
      </c>
      <c r="I762" s="134" t="s">
        <v>909</v>
      </c>
      <c r="J762" s="104">
        <v>1</v>
      </c>
      <c r="K762" s="104">
        <v>1</v>
      </c>
      <c r="L762" s="104">
        <v>12</v>
      </c>
      <c r="M762" s="91">
        <f t="shared" ref="M762:M793" si="203">IF(ISBLANK(J762),"",1)</f>
        <v>1</v>
      </c>
      <c r="N762" s="98" t="s">
        <v>64</v>
      </c>
      <c r="O762" s="99" t="s">
        <v>65</v>
      </c>
      <c r="P762" s="151">
        <f t="shared" si="200"/>
        <v>1</v>
      </c>
      <c r="Q762" s="101">
        <f t="shared" si="201"/>
        <v>305440000</v>
      </c>
      <c r="R762" s="101">
        <f t="shared" si="202"/>
        <v>305440000</v>
      </c>
      <c r="S762" s="144" t="s">
        <v>56</v>
      </c>
      <c r="T762" s="151">
        <f t="shared" si="197"/>
        <v>0</v>
      </c>
      <c r="U762" s="27" t="str">
        <f t="shared" ref="U762:U793" si="204">IF(ISBLANK(N762),"","SUBDIRECCION DE GESTION CONTRACTUAL")</f>
        <v>SUBDIRECCION DE GESTION CONTRACTUAL</v>
      </c>
      <c r="V762" s="151" t="str">
        <f t="shared" si="198"/>
        <v>CO-DC</v>
      </c>
      <c r="W762" s="151" t="str">
        <f t="shared" si="199"/>
        <v>Distrito Capital de Bogotá</v>
      </c>
      <c r="X762" s="131" t="s">
        <v>829</v>
      </c>
      <c r="Y762" s="104">
        <v>2427400</v>
      </c>
      <c r="Z762" s="133" t="s">
        <v>830</v>
      </c>
    </row>
    <row r="763" spans="1:26" s="5" customFormat="1" ht="12.75" hidden="1" customHeight="1" x14ac:dyDescent="0.2">
      <c r="A763" s="171" t="s">
        <v>824</v>
      </c>
      <c r="B763" s="104">
        <v>82</v>
      </c>
      <c r="C763" s="134" t="s">
        <v>825</v>
      </c>
      <c r="D763" s="131" t="s">
        <v>826</v>
      </c>
      <c r="E763" s="132"/>
      <c r="F763" s="132">
        <v>5954508000</v>
      </c>
      <c r="G763" s="132"/>
      <c r="H763" s="131">
        <v>92121901</v>
      </c>
      <c r="I763" s="134" t="s">
        <v>910</v>
      </c>
      <c r="J763" s="104">
        <v>1</v>
      </c>
      <c r="K763" s="104">
        <v>1</v>
      </c>
      <c r="L763" s="104">
        <v>12</v>
      </c>
      <c r="M763" s="91">
        <f t="shared" si="203"/>
        <v>1</v>
      </c>
      <c r="N763" s="98" t="s">
        <v>64</v>
      </c>
      <c r="O763" s="99" t="s">
        <v>65</v>
      </c>
      <c r="P763" s="151">
        <f t="shared" si="200"/>
        <v>1</v>
      </c>
      <c r="Q763" s="101">
        <f t="shared" si="201"/>
        <v>5954508000</v>
      </c>
      <c r="R763" s="101">
        <f t="shared" si="202"/>
        <v>5954508000</v>
      </c>
      <c r="S763" s="144" t="s">
        <v>56</v>
      </c>
      <c r="T763" s="151">
        <f t="shared" ref="T763:T794" si="205">IF(ISBLANK(S763),"",IF(VALUE(S763)=0,0,IF(VALUE(S763)=1,3,"")))</f>
        <v>0</v>
      </c>
      <c r="U763" s="27" t="str">
        <f t="shared" si="204"/>
        <v>SUBDIRECCION DE GESTION CONTRACTUAL</v>
      </c>
      <c r="V763" s="151" t="str">
        <f t="shared" si="198"/>
        <v>CO-DC</v>
      </c>
      <c r="W763" s="151" t="str">
        <f t="shared" si="199"/>
        <v>Distrito Capital de Bogotá</v>
      </c>
      <c r="X763" s="131" t="s">
        <v>829</v>
      </c>
      <c r="Y763" s="104">
        <v>2427400</v>
      </c>
      <c r="Z763" s="133" t="s">
        <v>830</v>
      </c>
    </row>
    <row r="764" spans="1:26" s="5" customFormat="1" ht="12.75" hidden="1" customHeight="1" x14ac:dyDescent="0.2">
      <c r="A764" s="171" t="s">
        <v>824</v>
      </c>
      <c r="B764" s="104">
        <v>83</v>
      </c>
      <c r="C764" s="134" t="s">
        <v>825</v>
      </c>
      <c r="D764" s="131" t="s">
        <v>826</v>
      </c>
      <c r="E764" s="132"/>
      <c r="F764" s="132">
        <v>9903414</v>
      </c>
      <c r="G764" s="132"/>
      <c r="H764" s="131" t="s">
        <v>827</v>
      </c>
      <c r="I764" s="134" t="s">
        <v>911</v>
      </c>
      <c r="J764" s="104">
        <v>1</v>
      </c>
      <c r="K764" s="104">
        <v>1</v>
      </c>
      <c r="L764" s="104">
        <v>12</v>
      </c>
      <c r="M764" s="91">
        <f t="shared" si="203"/>
        <v>1</v>
      </c>
      <c r="N764" s="98" t="s">
        <v>64</v>
      </c>
      <c r="O764" s="99" t="s">
        <v>65</v>
      </c>
      <c r="P764" s="151">
        <f t="shared" si="200"/>
        <v>1</v>
      </c>
      <c r="Q764" s="101">
        <f t="shared" si="201"/>
        <v>9903414</v>
      </c>
      <c r="R764" s="101">
        <f t="shared" si="202"/>
        <v>9903414</v>
      </c>
      <c r="S764" s="144" t="s">
        <v>56</v>
      </c>
      <c r="T764" s="151">
        <f t="shared" si="205"/>
        <v>0</v>
      </c>
      <c r="U764" s="27" t="str">
        <f t="shared" si="204"/>
        <v>SUBDIRECCION DE GESTION CONTRACTUAL</v>
      </c>
      <c r="V764" s="151" t="str">
        <f t="shared" si="198"/>
        <v>CO-DC</v>
      </c>
      <c r="W764" s="151" t="str">
        <f t="shared" si="199"/>
        <v>Distrito Capital de Bogotá</v>
      </c>
      <c r="X764" s="131" t="s">
        <v>829</v>
      </c>
      <c r="Y764" s="104">
        <v>2427400</v>
      </c>
      <c r="Z764" s="133" t="s">
        <v>830</v>
      </c>
    </row>
    <row r="765" spans="1:26" s="5" customFormat="1" ht="12.75" hidden="1" customHeight="1" x14ac:dyDescent="0.2">
      <c r="A765" s="171" t="s">
        <v>824</v>
      </c>
      <c r="B765" s="104">
        <v>84</v>
      </c>
      <c r="C765" s="134" t="s">
        <v>825</v>
      </c>
      <c r="D765" s="131" t="s">
        <v>826</v>
      </c>
      <c r="E765" s="132"/>
      <c r="F765" s="132">
        <v>47733333</v>
      </c>
      <c r="G765" s="132"/>
      <c r="H765" s="131" t="s">
        <v>827</v>
      </c>
      <c r="I765" s="134" t="s">
        <v>912</v>
      </c>
      <c r="J765" s="104">
        <v>1</v>
      </c>
      <c r="K765" s="104">
        <v>1</v>
      </c>
      <c r="L765" s="104">
        <v>12</v>
      </c>
      <c r="M765" s="91">
        <f t="shared" si="203"/>
        <v>1</v>
      </c>
      <c r="N765" s="98" t="s">
        <v>64</v>
      </c>
      <c r="O765" s="99" t="s">
        <v>65</v>
      </c>
      <c r="P765" s="151">
        <f t="shared" si="200"/>
        <v>1</v>
      </c>
      <c r="Q765" s="101">
        <f t="shared" si="201"/>
        <v>47733333</v>
      </c>
      <c r="R765" s="101">
        <f t="shared" si="202"/>
        <v>47733333</v>
      </c>
      <c r="S765" s="144" t="s">
        <v>56</v>
      </c>
      <c r="T765" s="151">
        <f t="shared" si="205"/>
        <v>0</v>
      </c>
      <c r="U765" s="27" t="str">
        <f t="shared" si="204"/>
        <v>SUBDIRECCION DE GESTION CONTRACTUAL</v>
      </c>
      <c r="V765" s="151" t="str">
        <f t="shared" si="198"/>
        <v>CO-DC</v>
      </c>
      <c r="W765" s="151" t="str">
        <f t="shared" si="199"/>
        <v>Distrito Capital de Bogotá</v>
      </c>
      <c r="X765" s="131" t="s">
        <v>829</v>
      </c>
      <c r="Y765" s="104">
        <v>2427400</v>
      </c>
      <c r="Z765" s="133" t="s">
        <v>830</v>
      </c>
    </row>
    <row r="766" spans="1:26" s="5" customFormat="1" ht="12.75" hidden="1" customHeight="1" x14ac:dyDescent="0.2">
      <c r="A766" s="171" t="s">
        <v>824</v>
      </c>
      <c r="B766" s="104">
        <v>85</v>
      </c>
      <c r="C766" s="134" t="s">
        <v>825</v>
      </c>
      <c r="D766" s="131" t="s">
        <v>826</v>
      </c>
      <c r="E766" s="132"/>
      <c r="F766" s="132">
        <v>14833333</v>
      </c>
      <c r="G766" s="132"/>
      <c r="H766" s="131" t="s">
        <v>834</v>
      </c>
      <c r="I766" s="134" t="s">
        <v>913</v>
      </c>
      <c r="J766" s="104">
        <v>1</v>
      </c>
      <c r="K766" s="104">
        <v>1</v>
      </c>
      <c r="L766" s="104">
        <v>12</v>
      </c>
      <c r="M766" s="91">
        <f t="shared" si="203"/>
        <v>1</v>
      </c>
      <c r="N766" s="98" t="s">
        <v>64</v>
      </c>
      <c r="O766" s="99" t="s">
        <v>65</v>
      </c>
      <c r="P766" s="151">
        <f t="shared" si="200"/>
        <v>1</v>
      </c>
      <c r="Q766" s="101">
        <f t="shared" si="201"/>
        <v>14833333</v>
      </c>
      <c r="R766" s="101">
        <f t="shared" si="202"/>
        <v>14833333</v>
      </c>
      <c r="S766" s="144" t="s">
        <v>56</v>
      </c>
      <c r="T766" s="151">
        <f t="shared" si="205"/>
        <v>0</v>
      </c>
      <c r="U766" s="27" t="str">
        <f t="shared" si="204"/>
        <v>SUBDIRECCION DE GESTION CONTRACTUAL</v>
      </c>
      <c r="V766" s="151" t="str">
        <f t="shared" si="198"/>
        <v>CO-DC</v>
      </c>
      <c r="W766" s="151" t="str">
        <f t="shared" si="199"/>
        <v>Distrito Capital de Bogotá</v>
      </c>
      <c r="X766" s="131" t="s">
        <v>829</v>
      </c>
      <c r="Y766" s="104">
        <v>2427400</v>
      </c>
      <c r="Z766" s="133" t="s">
        <v>830</v>
      </c>
    </row>
    <row r="767" spans="1:26" s="5" customFormat="1" ht="12.75" hidden="1" customHeight="1" x14ac:dyDescent="0.2">
      <c r="A767" s="171" t="s">
        <v>824</v>
      </c>
      <c r="B767" s="104">
        <v>86</v>
      </c>
      <c r="C767" s="134" t="s">
        <v>825</v>
      </c>
      <c r="D767" s="131" t="s">
        <v>826</v>
      </c>
      <c r="E767" s="132"/>
      <c r="F767" s="132">
        <v>299073280</v>
      </c>
      <c r="G767" s="132"/>
      <c r="H767" s="131" t="s">
        <v>834</v>
      </c>
      <c r="I767" s="134" t="s">
        <v>914</v>
      </c>
      <c r="J767" s="104">
        <v>1</v>
      </c>
      <c r="K767" s="104">
        <v>1</v>
      </c>
      <c r="L767" s="104">
        <v>12</v>
      </c>
      <c r="M767" s="91">
        <f t="shared" si="203"/>
        <v>1</v>
      </c>
      <c r="N767" s="98" t="s">
        <v>64</v>
      </c>
      <c r="O767" s="99" t="s">
        <v>65</v>
      </c>
      <c r="P767" s="151">
        <f t="shared" si="200"/>
        <v>1</v>
      </c>
      <c r="Q767" s="101">
        <f t="shared" si="201"/>
        <v>299073280</v>
      </c>
      <c r="R767" s="101">
        <f t="shared" si="202"/>
        <v>299073280</v>
      </c>
      <c r="S767" s="144" t="s">
        <v>56</v>
      </c>
      <c r="T767" s="151">
        <f t="shared" si="205"/>
        <v>0</v>
      </c>
      <c r="U767" s="27" t="str">
        <f t="shared" si="204"/>
        <v>SUBDIRECCION DE GESTION CONTRACTUAL</v>
      </c>
      <c r="V767" s="151" t="str">
        <f t="shared" si="198"/>
        <v>CO-DC</v>
      </c>
      <c r="W767" s="151" t="str">
        <f t="shared" si="199"/>
        <v>Distrito Capital de Bogotá</v>
      </c>
      <c r="X767" s="131" t="s">
        <v>829</v>
      </c>
      <c r="Y767" s="104">
        <v>2427400</v>
      </c>
      <c r="Z767" s="133" t="s">
        <v>830</v>
      </c>
    </row>
    <row r="768" spans="1:26" s="5" customFormat="1" ht="12.75" hidden="1" customHeight="1" x14ac:dyDescent="0.2">
      <c r="A768" s="171" t="s">
        <v>824</v>
      </c>
      <c r="B768" s="104">
        <v>87</v>
      </c>
      <c r="C768" s="134" t="s">
        <v>825</v>
      </c>
      <c r="D768" s="131" t="s">
        <v>826</v>
      </c>
      <c r="E768" s="132"/>
      <c r="F768" s="132">
        <v>1725297191</v>
      </c>
      <c r="G768" s="132"/>
      <c r="H768" s="131" t="s">
        <v>827</v>
      </c>
      <c r="I768" s="134" t="s">
        <v>915</v>
      </c>
      <c r="J768" s="104">
        <v>1</v>
      </c>
      <c r="K768" s="104">
        <v>1</v>
      </c>
      <c r="L768" s="104">
        <v>12</v>
      </c>
      <c r="M768" s="91">
        <f t="shared" si="203"/>
        <v>1</v>
      </c>
      <c r="N768" s="98" t="s">
        <v>64</v>
      </c>
      <c r="O768" s="99" t="s">
        <v>65</v>
      </c>
      <c r="P768" s="151">
        <f t="shared" si="200"/>
        <v>1</v>
      </c>
      <c r="Q768" s="101">
        <f t="shared" si="201"/>
        <v>1725297191</v>
      </c>
      <c r="R768" s="101">
        <f t="shared" si="202"/>
        <v>1725297191</v>
      </c>
      <c r="S768" s="144" t="s">
        <v>56</v>
      </c>
      <c r="T768" s="151">
        <f t="shared" si="205"/>
        <v>0</v>
      </c>
      <c r="U768" s="27" t="str">
        <f t="shared" si="204"/>
        <v>SUBDIRECCION DE GESTION CONTRACTUAL</v>
      </c>
      <c r="V768" s="151" t="str">
        <f t="shared" si="198"/>
        <v>CO-DC</v>
      </c>
      <c r="W768" s="151" t="str">
        <f t="shared" si="199"/>
        <v>Distrito Capital de Bogotá</v>
      </c>
      <c r="X768" s="131" t="s">
        <v>829</v>
      </c>
      <c r="Y768" s="104">
        <v>2427400</v>
      </c>
      <c r="Z768" s="133" t="s">
        <v>830</v>
      </c>
    </row>
    <row r="769" spans="1:26" s="5" customFormat="1" ht="12.75" hidden="1" customHeight="1" x14ac:dyDescent="0.2">
      <c r="A769" s="171" t="s">
        <v>824</v>
      </c>
      <c r="B769" s="104">
        <v>88</v>
      </c>
      <c r="C769" s="134" t="s">
        <v>825</v>
      </c>
      <c r="D769" s="131" t="s">
        <v>826</v>
      </c>
      <c r="E769" s="132"/>
      <c r="F769" s="132">
        <v>962792662</v>
      </c>
      <c r="G769" s="132"/>
      <c r="H769" s="131" t="s">
        <v>827</v>
      </c>
      <c r="I769" s="134" t="s">
        <v>916</v>
      </c>
      <c r="J769" s="104">
        <v>1</v>
      </c>
      <c r="K769" s="104">
        <v>1</v>
      </c>
      <c r="L769" s="104">
        <v>12</v>
      </c>
      <c r="M769" s="91">
        <f t="shared" si="203"/>
        <v>1</v>
      </c>
      <c r="N769" s="98" t="s">
        <v>64</v>
      </c>
      <c r="O769" s="99" t="s">
        <v>65</v>
      </c>
      <c r="P769" s="151">
        <f t="shared" si="200"/>
        <v>1</v>
      </c>
      <c r="Q769" s="101">
        <f t="shared" si="201"/>
        <v>962792662</v>
      </c>
      <c r="R769" s="101">
        <f t="shared" si="202"/>
        <v>962792662</v>
      </c>
      <c r="S769" s="144" t="s">
        <v>56</v>
      </c>
      <c r="T769" s="151">
        <f t="shared" si="205"/>
        <v>0</v>
      </c>
      <c r="U769" s="27" t="str">
        <f t="shared" si="204"/>
        <v>SUBDIRECCION DE GESTION CONTRACTUAL</v>
      </c>
      <c r="V769" s="151" t="str">
        <f t="shared" si="198"/>
        <v>CO-DC</v>
      </c>
      <c r="W769" s="151" t="str">
        <f t="shared" si="199"/>
        <v>Distrito Capital de Bogotá</v>
      </c>
      <c r="X769" s="131" t="s">
        <v>829</v>
      </c>
      <c r="Y769" s="104">
        <v>2427400</v>
      </c>
      <c r="Z769" s="133" t="s">
        <v>830</v>
      </c>
    </row>
    <row r="770" spans="1:26" s="5" customFormat="1" ht="12.75" hidden="1" customHeight="1" x14ac:dyDescent="0.2">
      <c r="A770" s="171" t="s">
        <v>824</v>
      </c>
      <c r="B770" s="104">
        <v>89</v>
      </c>
      <c r="C770" s="134" t="s">
        <v>825</v>
      </c>
      <c r="D770" s="131" t="s">
        <v>826</v>
      </c>
      <c r="E770" s="132"/>
      <c r="F770" s="132">
        <v>2038115564</v>
      </c>
      <c r="G770" s="132"/>
      <c r="H770" s="131" t="s">
        <v>827</v>
      </c>
      <c r="I770" s="134" t="s">
        <v>917</v>
      </c>
      <c r="J770" s="104">
        <v>1</v>
      </c>
      <c r="K770" s="104">
        <v>1</v>
      </c>
      <c r="L770" s="104">
        <v>12</v>
      </c>
      <c r="M770" s="91">
        <f t="shared" si="203"/>
        <v>1</v>
      </c>
      <c r="N770" s="98" t="s">
        <v>64</v>
      </c>
      <c r="O770" s="99" t="s">
        <v>65</v>
      </c>
      <c r="P770" s="151">
        <f t="shared" si="200"/>
        <v>1</v>
      </c>
      <c r="Q770" s="101">
        <f t="shared" si="201"/>
        <v>2038115564</v>
      </c>
      <c r="R770" s="101">
        <f t="shared" si="202"/>
        <v>2038115564</v>
      </c>
      <c r="S770" s="144" t="s">
        <v>56</v>
      </c>
      <c r="T770" s="151">
        <f t="shared" si="205"/>
        <v>0</v>
      </c>
      <c r="U770" s="27" t="str">
        <f t="shared" si="204"/>
        <v>SUBDIRECCION DE GESTION CONTRACTUAL</v>
      </c>
      <c r="V770" s="151" t="str">
        <f t="shared" si="198"/>
        <v>CO-DC</v>
      </c>
      <c r="W770" s="151" t="str">
        <f t="shared" si="199"/>
        <v>Distrito Capital de Bogotá</v>
      </c>
      <c r="X770" s="131" t="s">
        <v>829</v>
      </c>
      <c r="Y770" s="104">
        <v>2427400</v>
      </c>
      <c r="Z770" s="133" t="s">
        <v>830</v>
      </c>
    </row>
    <row r="771" spans="1:26" s="5" customFormat="1" ht="12.75" hidden="1" customHeight="1" x14ac:dyDescent="0.2">
      <c r="A771" s="171" t="s">
        <v>824</v>
      </c>
      <c r="B771" s="104">
        <v>90</v>
      </c>
      <c r="C771" s="134" t="s">
        <v>825</v>
      </c>
      <c r="D771" s="131" t="s">
        <v>826</v>
      </c>
      <c r="E771" s="132"/>
      <c r="F771" s="132">
        <v>729646729</v>
      </c>
      <c r="G771" s="132"/>
      <c r="H771" s="131" t="s">
        <v>827</v>
      </c>
      <c r="I771" s="134" t="s">
        <v>918</v>
      </c>
      <c r="J771" s="104">
        <v>1</v>
      </c>
      <c r="K771" s="104">
        <v>1</v>
      </c>
      <c r="L771" s="104">
        <v>12</v>
      </c>
      <c r="M771" s="91">
        <f t="shared" si="203"/>
        <v>1</v>
      </c>
      <c r="N771" s="98" t="s">
        <v>64</v>
      </c>
      <c r="O771" s="99" t="s">
        <v>65</v>
      </c>
      <c r="P771" s="151">
        <f t="shared" si="200"/>
        <v>1</v>
      </c>
      <c r="Q771" s="101">
        <f t="shared" si="201"/>
        <v>729646729</v>
      </c>
      <c r="R771" s="101">
        <f t="shared" si="202"/>
        <v>729646729</v>
      </c>
      <c r="S771" s="144" t="s">
        <v>56</v>
      </c>
      <c r="T771" s="151">
        <f t="shared" si="205"/>
        <v>0</v>
      </c>
      <c r="U771" s="27" t="str">
        <f t="shared" si="204"/>
        <v>SUBDIRECCION DE GESTION CONTRACTUAL</v>
      </c>
      <c r="V771" s="151" t="str">
        <f t="shared" si="198"/>
        <v>CO-DC</v>
      </c>
      <c r="W771" s="151" t="str">
        <f t="shared" si="199"/>
        <v>Distrito Capital de Bogotá</v>
      </c>
      <c r="X771" s="131" t="s">
        <v>829</v>
      </c>
      <c r="Y771" s="104">
        <v>2427400</v>
      </c>
      <c r="Z771" s="133" t="s">
        <v>830</v>
      </c>
    </row>
    <row r="772" spans="1:26" s="5" customFormat="1" ht="12.75" hidden="1" customHeight="1" x14ac:dyDescent="0.2">
      <c r="A772" s="171" t="s">
        <v>824</v>
      </c>
      <c r="B772" s="104">
        <v>91</v>
      </c>
      <c r="C772" s="134" t="s">
        <v>825</v>
      </c>
      <c r="D772" s="131" t="s">
        <v>826</v>
      </c>
      <c r="E772" s="132"/>
      <c r="F772" s="132">
        <v>3098514986</v>
      </c>
      <c r="G772" s="132"/>
      <c r="H772" s="131" t="s">
        <v>827</v>
      </c>
      <c r="I772" s="134" t="s">
        <v>919</v>
      </c>
      <c r="J772" s="104">
        <v>1</v>
      </c>
      <c r="K772" s="104">
        <v>1</v>
      </c>
      <c r="L772" s="104">
        <v>12</v>
      </c>
      <c r="M772" s="91">
        <f t="shared" si="203"/>
        <v>1</v>
      </c>
      <c r="N772" s="98" t="s">
        <v>64</v>
      </c>
      <c r="O772" s="99" t="s">
        <v>65</v>
      </c>
      <c r="P772" s="151">
        <f t="shared" si="200"/>
        <v>1</v>
      </c>
      <c r="Q772" s="101">
        <f t="shared" si="201"/>
        <v>3098514986</v>
      </c>
      <c r="R772" s="101">
        <f t="shared" si="202"/>
        <v>3098514986</v>
      </c>
      <c r="S772" s="144" t="s">
        <v>56</v>
      </c>
      <c r="T772" s="151">
        <f t="shared" si="205"/>
        <v>0</v>
      </c>
      <c r="U772" s="27" t="str">
        <f t="shared" si="204"/>
        <v>SUBDIRECCION DE GESTION CONTRACTUAL</v>
      </c>
      <c r="V772" s="151" t="str">
        <f t="shared" si="198"/>
        <v>CO-DC</v>
      </c>
      <c r="W772" s="151" t="str">
        <f t="shared" si="199"/>
        <v>Distrito Capital de Bogotá</v>
      </c>
      <c r="X772" s="131" t="s">
        <v>829</v>
      </c>
      <c r="Y772" s="104">
        <v>2427400</v>
      </c>
      <c r="Z772" s="133" t="s">
        <v>830</v>
      </c>
    </row>
    <row r="773" spans="1:26" s="5" customFormat="1" ht="12.75" hidden="1" customHeight="1" x14ac:dyDescent="0.2">
      <c r="A773" s="171" t="s">
        <v>824</v>
      </c>
      <c r="B773" s="104">
        <v>92</v>
      </c>
      <c r="C773" s="134" t="s">
        <v>825</v>
      </c>
      <c r="D773" s="131" t="s">
        <v>826</v>
      </c>
      <c r="E773" s="132"/>
      <c r="F773" s="132">
        <v>725962018</v>
      </c>
      <c r="G773" s="132"/>
      <c r="H773" s="131" t="s">
        <v>827</v>
      </c>
      <c r="I773" s="134" t="s">
        <v>920</v>
      </c>
      <c r="J773" s="104">
        <v>1</v>
      </c>
      <c r="K773" s="104">
        <v>1</v>
      </c>
      <c r="L773" s="104">
        <v>12</v>
      </c>
      <c r="M773" s="91">
        <f t="shared" si="203"/>
        <v>1</v>
      </c>
      <c r="N773" s="98" t="s">
        <v>64</v>
      </c>
      <c r="O773" s="99" t="s">
        <v>65</v>
      </c>
      <c r="P773" s="151">
        <f t="shared" si="200"/>
        <v>1</v>
      </c>
      <c r="Q773" s="101">
        <f t="shared" si="201"/>
        <v>725962018</v>
      </c>
      <c r="R773" s="101">
        <f t="shared" si="202"/>
        <v>725962018</v>
      </c>
      <c r="S773" s="144" t="s">
        <v>56</v>
      </c>
      <c r="T773" s="151">
        <f t="shared" si="205"/>
        <v>0</v>
      </c>
      <c r="U773" s="27" t="str">
        <f t="shared" si="204"/>
        <v>SUBDIRECCION DE GESTION CONTRACTUAL</v>
      </c>
      <c r="V773" s="151" t="str">
        <f t="shared" si="198"/>
        <v>CO-DC</v>
      </c>
      <c r="W773" s="151" t="str">
        <f t="shared" si="199"/>
        <v>Distrito Capital de Bogotá</v>
      </c>
      <c r="X773" s="131" t="s">
        <v>829</v>
      </c>
      <c r="Y773" s="104">
        <v>2427400</v>
      </c>
      <c r="Z773" s="133" t="s">
        <v>830</v>
      </c>
    </row>
    <row r="774" spans="1:26" s="5" customFormat="1" ht="12.75" hidden="1" customHeight="1" x14ac:dyDescent="0.2">
      <c r="A774" s="171" t="s">
        <v>824</v>
      </c>
      <c r="B774" s="104">
        <v>93</v>
      </c>
      <c r="C774" s="134" t="s">
        <v>825</v>
      </c>
      <c r="D774" s="131" t="s">
        <v>826</v>
      </c>
      <c r="E774" s="132"/>
      <c r="F774" s="132">
        <f>8400000000+1100000000</f>
        <v>9500000000</v>
      </c>
      <c r="G774" s="132"/>
      <c r="H774" s="131">
        <v>80111600</v>
      </c>
      <c r="I774" s="134" t="s">
        <v>921</v>
      </c>
      <c r="J774" s="104">
        <v>1</v>
      </c>
      <c r="K774" s="104">
        <v>1</v>
      </c>
      <c r="L774" s="104">
        <v>12</v>
      </c>
      <c r="M774" s="91">
        <f t="shared" si="203"/>
        <v>1</v>
      </c>
      <c r="N774" s="98" t="s">
        <v>54</v>
      </c>
      <c r="O774" s="99" t="s">
        <v>55</v>
      </c>
      <c r="P774" s="151">
        <f t="shared" si="200"/>
        <v>1</v>
      </c>
      <c r="Q774" s="101">
        <f t="shared" si="201"/>
        <v>9500000000</v>
      </c>
      <c r="R774" s="101">
        <f t="shared" si="202"/>
        <v>9500000000</v>
      </c>
      <c r="S774" s="144" t="s">
        <v>56</v>
      </c>
      <c r="T774" s="151">
        <f t="shared" si="205"/>
        <v>0</v>
      </c>
      <c r="U774" s="27" t="str">
        <f t="shared" si="204"/>
        <v>SUBDIRECCION DE GESTION CONTRACTUAL</v>
      </c>
      <c r="V774" s="151" t="str">
        <f t="shared" si="198"/>
        <v>CO-DC</v>
      </c>
      <c r="W774" s="151" t="str">
        <f t="shared" si="199"/>
        <v>Distrito Capital de Bogotá</v>
      </c>
      <c r="X774" s="131" t="s">
        <v>829</v>
      </c>
      <c r="Y774" s="104">
        <v>2427400</v>
      </c>
      <c r="Z774" s="88" t="s">
        <v>830</v>
      </c>
    </row>
    <row r="775" spans="1:26" s="5" customFormat="1" ht="12.75" hidden="1" customHeight="1" x14ac:dyDescent="0.2">
      <c r="A775" s="171" t="s">
        <v>824</v>
      </c>
      <c r="B775" s="104">
        <v>94</v>
      </c>
      <c r="C775" s="134" t="s">
        <v>825</v>
      </c>
      <c r="D775" s="131" t="s">
        <v>826</v>
      </c>
      <c r="E775" s="132"/>
      <c r="F775" s="132">
        <v>650000000</v>
      </c>
      <c r="G775" s="132"/>
      <c r="H775" s="94" t="s">
        <v>71</v>
      </c>
      <c r="I775" s="134" t="s">
        <v>922</v>
      </c>
      <c r="J775" s="95">
        <v>2</v>
      </c>
      <c r="K775" s="96">
        <v>3</v>
      </c>
      <c r="L775" s="97">
        <v>10</v>
      </c>
      <c r="M775" s="91">
        <f t="shared" si="203"/>
        <v>1</v>
      </c>
      <c r="N775" s="98" t="s">
        <v>64</v>
      </c>
      <c r="O775" s="99" t="s">
        <v>65</v>
      </c>
      <c r="P775" s="151">
        <f t="shared" si="200"/>
        <v>1</v>
      </c>
      <c r="Q775" s="101">
        <f t="shared" si="201"/>
        <v>650000000</v>
      </c>
      <c r="R775" s="101">
        <f t="shared" si="202"/>
        <v>650000000</v>
      </c>
      <c r="S775" s="144" t="s">
        <v>56</v>
      </c>
      <c r="T775" s="151">
        <f t="shared" si="205"/>
        <v>0</v>
      </c>
      <c r="U775" s="27" t="str">
        <f t="shared" si="204"/>
        <v>SUBDIRECCION DE GESTION CONTRACTUAL</v>
      </c>
      <c r="V775" s="151" t="str">
        <f t="shared" si="198"/>
        <v>CO-DC</v>
      </c>
      <c r="W775" s="151" t="str">
        <f t="shared" si="199"/>
        <v>Distrito Capital de Bogotá</v>
      </c>
      <c r="X775" s="131" t="s">
        <v>829</v>
      </c>
      <c r="Y775" s="104">
        <v>2427400</v>
      </c>
      <c r="Z775" s="133" t="s">
        <v>830</v>
      </c>
    </row>
    <row r="776" spans="1:26" s="5" customFormat="1" ht="12.75" hidden="1" customHeight="1" x14ac:dyDescent="0.2">
      <c r="A776" s="171" t="s">
        <v>824</v>
      </c>
      <c r="B776" s="104">
        <v>95</v>
      </c>
      <c r="C776" s="134" t="s">
        <v>825</v>
      </c>
      <c r="D776" s="131" t="s">
        <v>826</v>
      </c>
      <c r="E776" s="132"/>
      <c r="F776" s="132">
        <v>80000000</v>
      </c>
      <c r="G776" s="132"/>
      <c r="H776" s="94" t="s">
        <v>67</v>
      </c>
      <c r="I776" s="134" t="s">
        <v>923</v>
      </c>
      <c r="J776" s="124">
        <v>1</v>
      </c>
      <c r="K776" s="124">
        <v>2</v>
      </c>
      <c r="L776" s="124">
        <v>3</v>
      </c>
      <c r="M776" s="91">
        <f t="shared" si="203"/>
        <v>1</v>
      </c>
      <c r="N776" s="98" t="s">
        <v>64</v>
      </c>
      <c r="O776" s="99" t="s">
        <v>65</v>
      </c>
      <c r="P776" s="151">
        <f t="shared" si="200"/>
        <v>1</v>
      </c>
      <c r="Q776" s="101">
        <f t="shared" si="201"/>
        <v>80000000</v>
      </c>
      <c r="R776" s="101">
        <f t="shared" si="202"/>
        <v>80000000</v>
      </c>
      <c r="S776" s="144" t="s">
        <v>56</v>
      </c>
      <c r="T776" s="151">
        <f t="shared" si="205"/>
        <v>0</v>
      </c>
      <c r="U776" s="27" t="str">
        <f t="shared" si="204"/>
        <v>SUBDIRECCION DE GESTION CONTRACTUAL</v>
      </c>
      <c r="V776" s="151" t="str">
        <f t="shared" si="198"/>
        <v>CO-DC</v>
      </c>
      <c r="W776" s="151" t="str">
        <f t="shared" si="199"/>
        <v>Distrito Capital de Bogotá</v>
      </c>
      <c r="X776" s="131" t="s">
        <v>829</v>
      </c>
      <c r="Y776" s="104">
        <v>2427400</v>
      </c>
      <c r="Z776" s="133" t="s">
        <v>830</v>
      </c>
    </row>
    <row r="777" spans="1:26" s="5" customFormat="1" ht="12.75" hidden="1" customHeight="1" x14ac:dyDescent="0.2">
      <c r="A777" s="171" t="s">
        <v>824</v>
      </c>
      <c r="B777" s="104">
        <v>96</v>
      </c>
      <c r="C777" s="134" t="s">
        <v>825</v>
      </c>
      <c r="D777" s="131" t="s">
        <v>826</v>
      </c>
      <c r="E777" s="132"/>
      <c r="F777" s="132">
        <v>850000000</v>
      </c>
      <c r="G777" s="132"/>
      <c r="H777" s="94" t="s">
        <v>59</v>
      </c>
      <c r="I777" s="134" t="s">
        <v>924</v>
      </c>
      <c r="J777" s="95">
        <v>3</v>
      </c>
      <c r="K777" s="96">
        <v>4</v>
      </c>
      <c r="L777" s="97">
        <v>9</v>
      </c>
      <c r="M777" s="91">
        <f t="shared" si="203"/>
        <v>1</v>
      </c>
      <c r="N777" s="98" t="s">
        <v>61</v>
      </c>
      <c r="O777" s="99" t="s">
        <v>62</v>
      </c>
      <c r="P777" s="151">
        <f t="shared" si="200"/>
        <v>1</v>
      </c>
      <c r="Q777" s="101">
        <f t="shared" si="201"/>
        <v>850000000</v>
      </c>
      <c r="R777" s="101">
        <f t="shared" si="202"/>
        <v>850000000</v>
      </c>
      <c r="S777" s="144" t="s">
        <v>56</v>
      </c>
      <c r="T777" s="151">
        <f t="shared" si="205"/>
        <v>0</v>
      </c>
      <c r="U777" s="27" t="str">
        <f t="shared" si="204"/>
        <v>SUBDIRECCION DE GESTION CONTRACTUAL</v>
      </c>
      <c r="V777" s="91" t="str">
        <f t="shared" ref="V777:V808" si="206">IF(ISBLANK(N777),"","CO-DC")</f>
        <v>CO-DC</v>
      </c>
      <c r="W777" s="27" t="str">
        <f t="shared" ref="W777:W808" si="207">IF(ISBLANK(N777),"","Distrito Capital de Bogotá")</f>
        <v>Distrito Capital de Bogotá</v>
      </c>
      <c r="X777" s="131" t="s">
        <v>829</v>
      </c>
      <c r="Y777" s="104">
        <v>2427400</v>
      </c>
      <c r="Z777" s="133" t="s">
        <v>830</v>
      </c>
    </row>
    <row r="778" spans="1:26" s="5" customFormat="1" ht="12.75" hidden="1" customHeight="1" x14ac:dyDescent="0.2">
      <c r="A778" s="171" t="s">
        <v>824</v>
      </c>
      <c r="B778" s="104">
        <v>97</v>
      </c>
      <c r="C778" s="134" t="s">
        <v>925</v>
      </c>
      <c r="D778" s="131" t="s">
        <v>926</v>
      </c>
      <c r="E778" s="132"/>
      <c r="F778" s="132">
        <v>19980000000</v>
      </c>
      <c r="G778" s="132"/>
      <c r="H778" s="131" t="s">
        <v>834</v>
      </c>
      <c r="I778" s="134" t="s">
        <v>927</v>
      </c>
      <c r="J778" s="104">
        <v>1</v>
      </c>
      <c r="K778" s="104">
        <v>1</v>
      </c>
      <c r="L778" s="104">
        <v>12</v>
      </c>
      <c r="M778" s="91">
        <f t="shared" si="203"/>
        <v>1</v>
      </c>
      <c r="N778" s="98" t="s">
        <v>64</v>
      </c>
      <c r="O778" s="99" t="s">
        <v>65</v>
      </c>
      <c r="P778" s="151">
        <f t="shared" ref="P778:P809" si="208">IF(ISBLANK(N778),"",1)</f>
        <v>1</v>
      </c>
      <c r="Q778" s="101">
        <f t="shared" si="201"/>
        <v>19980000000</v>
      </c>
      <c r="R778" s="101">
        <f t="shared" si="202"/>
        <v>19980000000</v>
      </c>
      <c r="S778" s="144" t="s">
        <v>56</v>
      </c>
      <c r="T778" s="151">
        <f t="shared" si="205"/>
        <v>0</v>
      </c>
      <c r="U778" s="27" t="str">
        <f t="shared" si="204"/>
        <v>SUBDIRECCION DE GESTION CONTRACTUAL</v>
      </c>
      <c r="V778" s="151" t="str">
        <f t="shared" si="206"/>
        <v>CO-DC</v>
      </c>
      <c r="W778" s="151" t="str">
        <f t="shared" si="207"/>
        <v>Distrito Capital de Bogotá</v>
      </c>
      <c r="X778" s="131" t="s">
        <v>829</v>
      </c>
      <c r="Y778" s="104">
        <v>2427400</v>
      </c>
      <c r="Z778" s="133" t="s">
        <v>830</v>
      </c>
    </row>
    <row r="779" spans="1:26" s="5" customFormat="1" ht="12.75" hidden="1" customHeight="1" x14ac:dyDescent="0.2">
      <c r="A779" s="171" t="s">
        <v>824</v>
      </c>
      <c r="B779" s="104">
        <v>98</v>
      </c>
      <c r="C779" s="134" t="s">
        <v>925</v>
      </c>
      <c r="D779" s="131" t="s">
        <v>926</v>
      </c>
      <c r="E779" s="132"/>
      <c r="F779" s="132">
        <v>1184122275</v>
      </c>
      <c r="G779" s="132"/>
      <c r="H779" s="131" t="s">
        <v>827</v>
      </c>
      <c r="I779" s="134" t="s">
        <v>928</v>
      </c>
      <c r="J779" s="104">
        <v>1</v>
      </c>
      <c r="K779" s="104">
        <v>1</v>
      </c>
      <c r="L779" s="104">
        <v>12</v>
      </c>
      <c r="M779" s="91">
        <f t="shared" si="203"/>
        <v>1</v>
      </c>
      <c r="N779" s="98" t="s">
        <v>64</v>
      </c>
      <c r="O779" s="99" t="s">
        <v>65</v>
      </c>
      <c r="P779" s="151">
        <f t="shared" si="208"/>
        <v>1</v>
      </c>
      <c r="Q779" s="101">
        <f t="shared" si="201"/>
        <v>1184122275</v>
      </c>
      <c r="R779" s="101">
        <f t="shared" si="202"/>
        <v>1184122275</v>
      </c>
      <c r="S779" s="144" t="s">
        <v>56</v>
      </c>
      <c r="T779" s="151">
        <f t="shared" si="205"/>
        <v>0</v>
      </c>
      <c r="U779" s="27" t="str">
        <f t="shared" si="204"/>
        <v>SUBDIRECCION DE GESTION CONTRACTUAL</v>
      </c>
      <c r="V779" s="151" t="str">
        <f t="shared" si="206"/>
        <v>CO-DC</v>
      </c>
      <c r="W779" s="151" t="str">
        <f t="shared" si="207"/>
        <v>Distrito Capital de Bogotá</v>
      </c>
      <c r="X779" s="131" t="s">
        <v>829</v>
      </c>
      <c r="Y779" s="104">
        <v>2427400</v>
      </c>
      <c r="Z779" s="133" t="s">
        <v>830</v>
      </c>
    </row>
    <row r="780" spans="1:26" s="5" customFormat="1" ht="12.75" hidden="1" customHeight="1" x14ac:dyDescent="0.2">
      <c r="A780" s="171" t="s">
        <v>824</v>
      </c>
      <c r="B780" s="104">
        <v>99</v>
      </c>
      <c r="C780" s="134" t="s">
        <v>925</v>
      </c>
      <c r="D780" s="131" t="s">
        <v>926</v>
      </c>
      <c r="E780" s="132"/>
      <c r="F780" s="132">
        <v>1302951521</v>
      </c>
      <c r="G780" s="132"/>
      <c r="H780" s="131" t="s">
        <v>827</v>
      </c>
      <c r="I780" s="134" t="s">
        <v>929</v>
      </c>
      <c r="J780" s="104">
        <v>1</v>
      </c>
      <c r="K780" s="104">
        <v>1</v>
      </c>
      <c r="L780" s="104">
        <v>12</v>
      </c>
      <c r="M780" s="91">
        <f t="shared" si="203"/>
        <v>1</v>
      </c>
      <c r="N780" s="98" t="s">
        <v>64</v>
      </c>
      <c r="O780" s="99" t="s">
        <v>65</v>
      </c>
      <c r="P780" s="151">
        <f t="shared" si="208"/>
        <v>1</v>
      </c>
      <c r="Q780" s="101">
        <f t="shared" si="201"/>
        <v>1302951521</v>
      </c>
      <c r="R780" s="101">
        <f t="shared" si="202"/>
        <v>1302951521</v>
      </c>
      <c r="S780" s="144" t="s">
        <v>56</v>
      </c>
      <c r="T780" s="151">
        <f t="shared" si="205"/>
        <v>0</v>
      </c>
      <c r="U780" s="27" t="str">
        <f t="shared" si="204"/>
        <v>SUBDIRECCION DE GESTION CONTRACTUAL</v>
      </c>
      <c r="V780" s="151" t="str">
        <f t="shared" si="206"/>
        <v>CO-DC</v>
      </c>
      <c r="W780" s="151" t="str">
        <f t="shared" si="207"/>
        <v>Distrito Capital de Bogotá</v>
      </c>
      <c r="X780" s="131" t="s">
        <v>829</v>
      </c>
      <c r="Y780" s="104">
        <v>2427400</v>
      </c>
      <c r="Z780" s="133" t="s">
        <v>830</v>
      </c>
    </row>
    <row r="781" spans="1:26" s="5" customFormat="1" ht="12.75" hidden="1" customHeight="1" x14ac:dyDescent="0.2">
      <c r="A781" s="171" t="s">
        <v>824</v>
      </c>
      <c r="B781" s="104">
        <v>100</v>
      </c>
      <c r="C781" s="134" t="s">
        <v>925</v>
      </c>
      <c r="D781" s="131" t="s">
        <v>926</v>
      </c>
      <c r="E781" s="132"/>
      <c r="F781" s="132">
        <v>1351896195</v>
      </c>
      <c r="G781" s="132"/>
      <c r="H781" s="131" t="s">
        <v>827</v>
      </c>
      <c r="I781" s="134" t="s">
        <v>930</v>
      </c>
      <c r="J781" s="104">
        <v>1</v>
      </c>
      <c r="K781" s="104">
        <v>1</v>
      </c>
      <c r="L781" s="104">
        <v>12</v>
      </c>
      <c r="M781" s="91">
        <f t="shared" si="203"/>
        <v>1</v>
      </c>
      <c r="N781" s="98" t="s">
        <v>64</v>
      </c>
      <c r="O781" s="99" t="s">
        <v>65</v>
      </c>
      <c r="P781" s="151">
        <f t="shared" si="208"/>
        <v>1</v>
      </c>
      <c r="Q781" s="101">
        <f t="shared" si="201"/>
        <v>1351896195</v>
      </c>
      <c r="R781" s="101">
        <f t="shared" si="202"/>
        <v>1351896195</v>
      </c>
      <c r="S781" s="144" t="s">
        <v>56</v>
      </c>
      <c r="T781" s="151">
        <f t="shared" si="205"/>
        <v>0</v>
      </c>
      <c r="U781" s="27" t="str">
        <f t="shared" si="204"/>
        <v>SUBDIRECCION DE GESTION CONTRACTUAL</v>
      </c>
      <c r="V781" s="151" t="str">
        <f t="shared" si="206"/>
        <v>CO-DC</v>
      </c>
      <c r="W781" s="151" t="str">
        <f t="shared" si="207"/>
        <v>Distrito Capital de Bogotá</v>
      </c>
      <c r="X781" s="131" t="s">
        <v>829</v>
      </c>
      <c r="Y781" s="104">
        <v>2427400</v>
      </c>
      <c r="Z781" s="133" t="s">
        <v>830</v>
      </c>
    </row>
    <row r="782" spans="1:26" s="5" customFormat="1" ht="12.75" hidden="1" customHeight="1" x14ac:dyDescent="0.2">
      <c r="A782" s="171" t="s">
        <v>824</v>
      </c>
      <c r="B782" s="104">
        <v>101</v>
      </c>
      <c r="C782" s="134" t="s">
        <v>925</v>
      </c>
      <c r="D782" s="131" t="s">
        <v>926</v>
      </c>
      <c r="E782" s="132"/>
      <c r="F782" s="132">
        <v>1965929315</v>
      </c>
      <c r="G782" s="132"/>
      <c r="H782" s="131" t="s">
        <v>827</v>
      </c>
      <c r="I782" s="134" t="s">
        <v>931</v>
      </c>
      <c r="J782" s="104">
        <v>1</v>
      </c>
      <c r="K782" s="104">
        <v>1</v>
      </c>
      <c r="L782" s="104">
        <v>12</v>
      </c>
      <c r="M782" s="91">
        <f t="shared" si="203"/>
        <v>1</v>
      </c>
      <c r="N782" s="98" t="s">
        <v>64</v>
      </c>
      <c r="O782" s="99" t="s">
        <v>65</v>
      </c>
      <c r="P782" s="151">
        <f t="shared" si="208"/>
        <v>1</v>
      </c>
      <c r="Q782" s="101">
        <f t="shared" si="201"/>
        <v>1965929315</v>
      </c>
      <c r="R782" s="101">
        <f t="shared" si="202"/>
        <v>1965929315</v>
      </c>
      <c r="S782" s="144" t="s">
        <v>56</v>
      </c>
      <c r="T782" s="151">
        <f t="shared" si="205"/>
        <v>0</v>
      </c>
      <c r="U782" s="27" t="str">
        <f t="shared" si="204"/>
        <v>SUBDIRECCION DE GESTION CONTRACTUAL</v>
      </c>
      <c r="V782" s="151" t="str">
        <f t="shared" si="206"/>
        <v>CO-DC</v>
      </c>
      <c r="W782" s="151" t="str">
        <f t="shared" si="207"/>
        <v>Distrito Capital de Bogotá</v>
      </c>
      <c r="X782" s="131" t="s">
        <v>829</v>
      </c>
      <c r="Y782" s="104">
        <v>2427400</v>
      </c>
      <c r="Z782" s="133" t="s">
        <v>830</v>
      </c>
    </row>
    <row r="783" spans="1:26" s="5" customFormat="1" ht="12.75" hidden="1" customHeight="1" x14ac:dyDescent="0.2">
      <c r="A783" s="171" t="s">
        <v>824</v>
      </c>
      <c r="B783" s="104">
        <v>102</v>
      </c>
      <c r="C783" s="134" t="s">
        <v>925</v>
      </c>
      <c r="D783" s="131" t="s">
        <v>926</v>
      </c>
      <c r="E783" s="132"/>
      <c r="F783" s="132">
        <v>1700289171</v>
      </c>
      <c r="G783" s="132"/>
      <c r="H783" s="131" t="s">
        <v>827</v>
      </c>
      <c r="I783" s="134" t="s">
        <v>932</v>
      </c>
      <c r="J783" s="104">
        <v>1</v>
      </c>
      <c r="K783" s="104">
        <v>1</v>
      </c>
      <c r="L783" s="104">
        <v>12</v>
      </c>
      <c r="M783" s="91">
        <f t="shared" si="203"/>
        <v>1</v>
      </c>
      <c r="N783" s="98" t="s">
        <v>64</v>
      </c>
      <c r="O783" s="99" t="s">
        <v>65</v>
      </c>
      <c r="P783" s="151">
        <f t="shared" si="208"/>
        <v>1</v>
      </c>
      <c r="Q783" s="101">
        <f t="shared" si="201"/>
        <v>1700289171</v>
      </c>
      <c r="R783" s="101">
        <f t="shared" si="202"/>
        <v>1700289171</v>
      </c>
      <c r="S783" s="144" t="s">
        <v>56</v>
      </c>
      <c r="T783" s="151">
        <f t="shared" si="205"/>
        <v>0</v>
      </c>
      <c r="U783" s="27" t="str">
        <f t="shared" si="204"/>
        <v>SUBDIRECCION DE GESTION CONTRACTUAL</v>
      </c>
      <c r="V783" s="151" t="str">
        <f t="shared" si="206"/>
        <v>CO-DC</v>
      </c>
      <c r="W783" s="151" t="str">
        <f t="shared" si="207"/>
        <v>Distrito Capital de Bogotá</v>
      </c>
      <c r="X783" s="131" t="s">
        <v>829</v>
      </c>
      <c r="Y783" s="104">
        <v>2427400</v>
      </c>
      <c r="Z783" s="133" t="s">
        <v>830</v>
      </c>
    </row>
    <row r="784" spans="1:26" s="5" customFormat="1" ht="12.75" hidden="1" customHeight="1" x14ac:dyDescent="0.2">
      <c r="A784" s="171" t="s">
        <v>824</v>
      </c>
      <c r="B784" s="104">
        <v>103</v>
      </c>
      <c r="C784" s="134" t="s">
        <v>925</v>
      </c>
      <c r="D784" s="131" t="s">
        <v>926</v>
      </c>
      <c r="E784" s="132"/>
      <c r="F784" s="132">
        <v>1965929315</v>
      </c>
      <c r="G784" s="132"/>
      <c r="H784" s="131" t="s">
        <v>827</v>
      </c>
      <c r="I784" s="134" t="s">
        <v>933</v>
      </c>
      <c r="J784" s="104">
        <v>1</v>
      </c>
      <c r="K784" s="104">
        <v>1</v>
      </c>
      <c r="L784" s="104">
        <v>12</v>
      </c>
      <c r="M784" s="91">
        <f t="shared" si="203"/>
        <v>1</v>
      </c>
      <c r="N784" s="98" t="s">
        <v>64</v>
      </c>
      <c r="O784" s="99" t="s">
        <v>65</v>
      </c>
      <c r="P784" s="151">
        <f t="shared" si="208"/>
        <v>1</v>
      </c>
      <c r="Q784" s="101">
        <f t="shared" si="201"/>
        <v>1965929315</v>
      </c>
      <c r="R784" s="101">
        <f t="shared" si="202"/>
        <v>1965929315</v>
      </c>
      <c r="S784" s="144" t="s">
        <v>56</v>
      </c>
      <c r="T784" s="151">
        <f t="shared" si="205"/>
        <v>0</v>
      </c>
      <c r="U784" s="27" t="str">
        <f t="shared" si="204"/>
        <v>SUBDIRECCION DE GESTION CONTRACTUAL</v>
      </c>
      <c r="V784" s="151" t="str">
        <f t="shared" si="206"/>
        <v>CO-DC</v>
      </c>
      <c r="W784" s="151" t="str">
        <f t="shared" si="207"/>
        <v>Distrito Capital de Bogotá</v>
      </c>
      <c r="X784" s="131" t="s">
        <v>829</v>
      </c>
      <c r="Y784" s="104">
        <v>2427400</v>
      </c>
      <c r="Z784" s="133" t="s">
        <v>830</v>
      </c>
    </row>
    <row r="785" spans="1:26" s="5" customFormat="1" ht="12.75" hidden="1" customHeight="1" x14ac:dyDescent="0.2">
      <c r="A785" s="171" t="s">
        <v>824</v>
      </c>
      <c r="B785" s="104">
        <v>104</v>
      </c>
      <c r="C785" s="134" t="s">
        <v>925</v>
      </c>
      <c r="D785" s="131" t="s">
        <v>926</v>
      </c>
      <c r="E785" s="132"/>
      <c r="F785" s="132">
        <v>1481100270.5</v>
      </c>
      <c r="G785" s="132"/>
      <c r="H785" s="131" t="s">
        <v>827</v>
      </c>
      <c r="I785" s="134" t="s">
        <v>934</v>
      </c>
      <c r="J785" s="104">
        <v>1</v>
      </c>
      <c r="K785" s="104">
        <v>1</v>
      </c>
      <c r="L785" s="104">
        <v>12</v>
      </c>
      <c r="M785" s="91">
        <f t="shared" si="203"/>
        <v>1</v>
      </c>
      <c r="N785" s="98" t="s">
        <v>64</v>
      </c>
      <c r="O785" s="99" t="s">
        <v>65</v>
      </c>
      <c r="P785" s="151">
        <f t="shared" si="208"/>
        <v>1</v>
      </c>
      <c r="Q785" s="101">
        <f t="shared" si="201"/>
        <v>1481100270.5</v>
      </c>
      <c r="R785" s="101">
        <f t="shared" si="202"/>
        <v>1481100270.5</v>
      </c>
      <c r="S785" s="144" t="s">
        <v>56</v>
      </c>
      <c r="T785" s="151">
        <f t="shared" si="205"/>
        <v>0</v>
      </c>
      <c r="U785" s="27" t="str">
        <f t="shared" si="204"/>
        <v>SUBDIRECCION DE GESTION CONTRACTUAL</v>
      </c>
      <c r="V785" s="151" t="str">
        <f t="shared" si="206"/>
        <v>CO-DC</v>
      </c>
      <c r="W785" s="151" t="str">
        <f t="shared" si="207"/>
        <v>Distrito Capital de Bogotá</v>
      </c>
      <c r="X785" s="131" t="s">
        <v>829</v>
      </c>
      <c r="Y785" s="104">
        <v>2427400</v>
      </c>
      <c r="Z785" s="133" t="s">
        <v>830</v>
      </c>
    </row>
    <row r="786" spans="1:26" s="5" customFormat="1" ht="12.75" hidden="1" customHeight="1" x14ac:dyDescent="0.2">
      <c r="A786" s="171" t="s">
        <v>824</v>
      </c>
      <c r="B786" s="104">
        <v>105</v>
      </c>
      <c r="C786" s="134" t="s">
        <v>925</v>
      </c>
      <c r="D786" s="131" t="s">
        <v>926</v>
      </c>
      <c r="E786" s="132"/>
      <c r="F786" s="132">
        <v>5944059397</v>
      </c>
      <c r="G786" s="132"/>
      <c r="H786" s="131" t="s">
        <v>827</v>
      </c>
      <c r="I786" s="134" t="s">
        <v>935</v>
      </c>
      <c r="J786" s="104">
        <v>1</v>
      </c>
      <c r="K786" s="104">
        <v>1</v>
      </c>
      <c r="L786" s="104">
        <v>12</v>
      </c>
      <c r="M786" s="91">
        <f t="shared" si="203"/>
        <v>1</v>
      </c>
      <c r="N786" s="98" t="s">
        <v>64</v>
      </c>
      <c r="O786" s="99" t="s">
        <v>65</v>
      </c>
      <c r="P786" s="151">
        <f t="shared" si="208"/>
        <v>1</v>
      </c>
      <c r="Q786" s="101">
        <f t="shared" si="201"/>
        <v>5944059397</v>
      </c>
      <c r="R786" s="101">
        <f t="shared" si="202"/>
        <v>5944059397</v>
      </c>
      <c r="S786" s="144" t="s">
        <v>56</v>
      </c>
      <c r="T786" s="151">
        <f t="shared" si="205"/>
        <v>0</v>
      </c>
      <c r="U786" s="27" t="str">
        <f t="shared" si="204"/>
        <v>SUBDIRECCION DE GESTION CONTRACTUAL</v>
      </c>
      <c r="V786" s="151" t="str">
        <f t="shared" si="206"/>
        <v>CO-DC</v>
      </c>
      <c r="W786" s="151" t="str">
        <f t="shared" si="207"/>
        <v>Distrito Capital de Bogotá</v>
      </c>
      <c r="X786" s="131" t="s">
        <v>829</v>
      </c>
      <c r="Y786" s="104">
        <v>2427400</v>
      </c>
      <c r="Z786" s="133" t="s">
        <v>830</v>
      </c>
    </row>
    <row r="787" spans="1:26" s="5" customFormat="1" ht="12.75" hidden="1" customHeight="1" x14ac:dyDescent="0.2">
      <c r="A787" s="171" t="s">
        <v>824</v>
      </c>
      <c r="B787" s="104">
        <v>106</v>
      </c>
      <c r="C787" s="134" t="s">
        <v>925</v>
      </c>
      <c r="D787" s="131" t="s">
        <v>926</v>
      </c>
      <c r="E787" s="132"/>
      <c r="F787" s="132">
        <v>1393976725</v>
      </c>
      <c r="G787" s="132"/>
      <c r="H787" s="131" t="s">
        <v>827</v>
      </c>
      <c r="I787" s="134" t="s">
        <v>936</v>
      </c>
      <c r="J787" s="104">
        <v>1</v>
      </c>
      <c r="K787" s="104">
        <v>1</v>
      </c>
      <c r="L787" s="104">
        <v>12</v>
      </c>
      <c r="M787" s="91">
        <f t="shared" si="203"/>
        <v>1</v>
      </c>
      <c r="N787" s="98" t="s">
        <v>64</v>
      </c>
      <c r="O787" s="99" t="s">
        <v>65</v>
      </c>
      <c r="P787" s="151">
        <f t="shared" si="208"/>
        <v>1</v>
      </c>
      <c r="Q787" s="101">
        <f t="shared" si="201"/>
        <v>1393976725</v>
      </c>
      <c r="R787" s="101">
        <f t="shared" si="202"/>
        <v>1393976725</v>
      </c>
      <c r="S787" s="144" t="s">
        <v>56</v>
      </c>
      <c r="T787" s="151">
        <f t="shared" si="205"/>
        <v>0</v>
      </c>
      <c r="U787" s="27" t="str">
        <f t="shared" si="204"/>
        <v>SUBDIRECCION DE GESTION CONTRACTUAL</v>
      </c>
      <c r="V787" s="151" t="str">
        <f t="shared" si="206"/>
        <v>CO-DC</v>
      </c>
      <c r="W787" s="151" t="str">
        <f t="shared" si="207"/>
        <v>Distrito Capital de Bogotá</v>
      </c>
      <c r="X787" s="131" t="s">
        <v>829</v>
      </c>
      <c r="Y787" s="104">
        <v>2427400</v>
      </c>
      <c r="Z787" s="133" t="s">
        <v>830</v>
      </c>
    </row>
    <row r="788" spans="1:26" s="5" customFormat="1" ht="12.75" hidden="1" customHeight="1" x14ac:dyDescent="0.2">
      <c r="A788" s="171" t="s">
        <v>824</v>
      </c>
      <c r="B788" s="104">
        <v>107</v>
      </c>
      <c r="C788" s="134" t="s">
        <v>925</v>
      </c>
      <c r="D788" s="131" t="s">
        <v>926</v>
      </c>
      <c r="E788" s="132"/>
      <c r="F788" s="132">
        <v>4407956236</v>
      </c>
      <c r="G788" s="132"/>
      <c r="H788" s="131" t="s">
        <v>827</v>
      </c>
      <c r="I788" s="134" t="s">
        <v>937</v>
      </c>
      <c r="J788" s="104">
        <v>1</v>
      </c>
      <c r="K788" s="104">
        <v>1</v>
      </c>
      <c r="L788" s="104">
        <v>12</v>
      </c>
      <c r="M788" s="91">
        <f t="shared" si="203"/>
        <v>1</v>
      </c>
      <c r="N788" s="98" t="s">
        <v>64</v>
      </c>
      <c r="O788" s="99" t="s">
        <v>65</v>
      </c>
      <c r="P788" s="151">
        <f t="shared" si="208"/>
        <v>1</v>
      </c>
      <c r="Q788" s="101">
        <f t="shared" si="201"/>
        <v>4407956236</v>
      </c>
      <c r="R788" s="101">
        <f t="shared" si="202"/>
        <v>4407956236</v>
      </c>
      <c r="S788" s="144" t="s">
        <v>56</v>
      </c>
      <c r="T788" s="151">
        <f t="shared" si="205"/>
        <v>0</v>
      </c>
      <c r="U788" s="27" t="str">
        <f t="shared" si="204"/>
        <v>SUBDIRECCION DE GESTION CONTRACTUAL</v>
      </c>
      <c r="V788" s="151" t="str">
        <f t="shared" si="206"/>
        <v>CO-DC</v>
      </c>
      <c r="W788" s="151" t="str">
        <f t="shared" si="207"/>
        <v>Distrito Capital de Bogotá</v>
      </c>
      <c r="X788" s="131" t="s">
        <v>829</v>
      </c>
      <c r="Y788" s="104">
        <v>2427400</v>
      </c>
      <c r="Z788" s="133" t="s">
        <v>830</v>
      </c>
    </row>
    <row r="789" spans="1:26" s="5" customFormat="1" ht="12.75" hidden="1" customHeight="1" x14ac:dyDescent="0.2">
      <c r="A789" s="171" t="s">
        <v>824</v>
      </c>
      <c r="B789" s="104">
        <v>108</v>
      </c>
      <c r="C789" s="134" t="s">
        <v>925</v>
      </c>
      <c r="D789" s="131" t="s">
        <v>926</v>
      </c>
      <c r="E789" s="132"/>
      <c r="F789" s="132">
        <v>7235924929</v>
      </c>
      <c r="G789" s="132"/>
      <c r="H789" s="131" t="s">
        <v>827</v>
      </c>
      <c r="I789" s="134" t="s">
        <v>938</v>
      </c>
      <c r="J789" s="104">
        <v>1</v>
      </c>
      <c r="K789" s="104">
        <v>1</v>
      </c>
      <c r="L789" s="104">
        <v>12</v>
      </c>
      <c r="M789" s="91">
        <f t="shared" si="203"/>
        <v>1</v>
      </c>
      <c r="N789" s="98" t="s">
        <v>64</v>
      </c>
      <c r="O789" s="99" t="s">
        <v>65</v>
      </c>
      <c r="P789" s="151">
        <f t="shared" si="208"/>
        <v>1</v>
      </c>
      <c r="Q789" s="101">
        <f t="shared" si="201"/>
        <v>7235924929</v>
      </c>
      <c r="R789" s="101">
        <f t="shared" si="202"/>
        <v>7235924929</v>
      </c>
      <c r="S789" s="144" t="s">
        <v>56</v>
      </c>
      <c r="T789" s="151">
        <f t="shared" si="205"/>
        <v>0</v>
      </c>
      <c r="U789" s="27" t="str">
        <f t="shared" si="204"/>
        <v>SUBDIRECCION DE GESTION CONTRACTUAL</v>
      </c>
      <c r="V789" s="151" t="str">
        <f t="shared" si="206"/>
        <v>CO-DC</v>
      </c>
      <c r="W789" s="151" t="str">
        <f t="shared" si="207"/>
        <v>Distrito Capital de Bogotá</v>
      </c>
      <c r="X789" s="131" t="s">
        <v>829</v>
      </c>
      <c r="Y789" s="104">
        <v>2427400</v>
      </c>
      <c r="Z789" s="133" t="s">
        <v>830</v>
      </c>
    </row>
    <row r="790" spans="1:26" s="5" customFormat="1" ht="12.75" hidden="1" customHeight="1" x14ac:dyDescent="0.2">
      <c r="A790" s="171" t="s">
        <v>824</v>
      </c>
      <c r="B790" s="104">
        <v>109</v>
      </c>
      <c r="C790" s="134" t="s">
        <v>925</v>
      </c>
      <c r="D790" s="131" t="s">
        <v>926</v>
      </c>
      <c r="E790" s="132"/>
      <c r="F790" s="132">
        <v>1174429162</v>
      </c>
      <c r="G790" s="132"/>
      <c r="H790" s="131" t="s">
        <v>827</v>
      </c>
      <c r="I790" s="134" t="s">
        <v>939</v>
      </c>
      <c r="J790" s="104">
        <v>1</v>
      </c>
      <c r="K790" s="104">
        <v>1</v>
      </c>
      <c r="L790" s="104">
        <v>12</v>
      </c>
      <c r="M790" s="91">
        <f t="shared" si="203"/>
        <v>1</v>
      </c>
      <c r="N790" s="98" t="s">
        <v>64</v>
      </c>
      <c r="O790" s="99" t="s">
        <v>65</v>
      </c>
      <c r="P790" s="151">
        <f t="shared" si="208"/>
        <v>1</v>
      </c>
      <c r="Q790" s="101">
        <f t="shared" si="201"/>
        <v>1174429162</v>
      </c>
      <c r="R790" s="101">
        <f t="shared" si="202"/>
        <v>1174429162</v>
      </c>
      <c r="S790" s="144" t="s">
        <v>56</v>
      </c>
      <c r="T790" s="151">
        <f t="shared" si="205"/>
        <v>0</v>
      </c>
      <c r="U790" s="27" t="str">
        <f t="shared" si="204"/>
        <v>SUBDIRECCION DE GESTION CONTRACTUAL</v>
      </c>
      <c r="V790" s="151" t="str">
        <f t="shared" si="206"/>
        <v>CO-DC</v>
      </c>
      <c r="W790" s="151" t="str">
        <f t="shared" si="207"/>
        <v>Distrito Capital de Bogotá</v>
      </c>
      <c r="X790" s="131" t="s">
        <v>829</v>
      </c>
      <c r="Y790" s="104">
        <v>2427400</v>
      </c>
      <c r="Z790" s="133" t="s">
        <v>830</v>
      </c>
    </row>
    <row r="791" spans="1:26" s="5" customFormat="1" ht="12.75" hidden="1" customHeight="1" x14ac:dyDescent="0.2">
      <c r="A791" s="171" t="s">
        <v>824</v>
      </c>
      <c r="B791" s="104">
        <v>110</v>
      </c>
      <c r="C791" s="134" t="s">
        <v>925</v>
      </c>
      <c r="D791" s="131" t="s">
        <v>926</v>
      </c>
      <c r="E791" s="132"/>
      <c r="F791" s="132">
        <v>4428608739</v>
      </c>
      <c r="G791" s="132"/>
      <c r="H791" s="131" t="s">
        <v>827</v>
      </c>
      <c r="I791" s="134" t="s">
        <v>940</v>
      </c>
      <c r="J791" s="104">
        <v>1</v>
      </c>
      <c r="K791" s="104">
        <v>1</v>
      </c>
      <c r="L791" s="104">
        <v>12</v>
      </c>
      <c r="M791" s="91">
        <f t="shared" si="203"/>
        <v>1</v>
      </c>
      <c r="N791" s="98" t="s">
        <v>64</v>
      </c>
      <c r="O791" s="99" t="s">
        <v>65</v>
      </c>
      <c r="P791" s="151">
        <f t="shared" si="208"/>
        <v>1</v>
      </c>
      <c r="Q791" s="101">
        <f t="shared" si="201"/>
        <v>4428608739</v>
      </c>
      <c r="R791" s="101">
        <f t="shared" si="202"/>
        <v>4428608739</v>
      </c>
      <c r="S791" s="144" t="s">
        <v>56</v>
      </c>
      <c r="T791" s="151">
        <f t="shared" si="205"/>
        <v>0</v>
      </c>
      <c r="U791" s="27" t="str">
        <f t="shared" si="204"/>
        <v>SUBDIRECCION DE GESTION CONTRACTUAL</v>
      </c>
      <c r="V791" s="151" t="str">
        <f t="shared" si="206"/>
        <v>CO-DC</v>
      </c>
      <c r="W791" s="151" t="str">
        <f t="shared" si="207"/>
        <v>Distrito Capital de Bogotá</v>
      </c>
      <c r="X791" s="131" t="s">
        <v>829</v>
      </c>
      <c r="Y791" s="104">
        <v>2427400</v>
      </c>
      <c r="Z791" s="133" t="s">
        <v>830</v>
      </c>
    </row>
    <row r="792" spans="1:26" s="5" customFormat="1" ht="12.75" hidden="1" customHeight="1" x14ac:dyDescent="0.2">
      <c r="A792" s="171" t="s">
        <v>824</v>
      </c>
      <c r="B792" s="104">
        <v>111</v>
      </c>
      <c r="C792" s="134" t="s">
        <v>925</v>
      </c>
      <c r="D792" s="131" t="s">
        <v>926</v>
      </c>
      <c r="E792" s="132"/>
      <c r="F792" s="132">
        <v>1816499827</v>
      </c>
      <c r="G792" s="132"/>
      <c r="H792" s="131" t="s">
        <v>827</v>
      </c>
      <c r="I792" s="134" t="s">
        <v>941</v>
      </c>
      <c r="J792" s="104">
        <v>1</v>
      </c>
      <c r="K792" s="104">
        <v>1</v>
      </c>
      <c r="L792" s="104">
        <v>12</v>
      </c>
      <c r="M792" s="91">
        <f t="shared" si="203"/>
        <v>1</v>
      </c>
      <c r="N792" s="98" t="s">
        <v>64</v>
      </c>
      <c r="O792" s="99" t="s">
        <v>65</v>
      </c>
      <c r="P792" s="151">
        <f t="shared" si="208"/>
        <v>1</v>
      </c>
      <c r="Q792" s="101">
        <f t="shared" si="201"/>
        <v>1816499827</v>
      </c>
      <c r="R792" s="101">
        <f t="shared" si="202"/>
        <v>1816499827</v>
      </c>
      <c r="S792" s="144" t="s">
        <v>56</v>
      </c>
      <c r="T792" s="151">
        <f t="shared" si="205"/>
        <v>0</v>
      </c>
      <c r="U792" s="27" t="str">
        <f t="shared" si="204"/>
        <v>SUBDIRECCION DE GESTION CONTRACTUAL</v>
      </c>
      <c r="V792" s="151" t="str">
        <f t="shared" si="206"/>
        <v>CO-DC</v>
      </c>
      <c r="W792" s="151" t="str">
        <f t="shared" si="207"/>
        <v>Distrito Capital de Bogotá</v>
      </c>
      <c r="X792" s="131" t="s">
        <v>829</v>
      </c>
      <c r="Y792" s="104">
        <v>2427400</v>
      </c>
      <c r="Z792" s="133" t="s">
        <v>830</v>
      </c>
    </row>
    <row r="793" spans="1:26" s="5" customFormat="1" ht="12.75" hidden="1" customHeight="1" x14ac:dyDescent="0.2">
      <c r="A793" s="171" t="s">
        <v>824</v>
      </c>
      <c r="B793" s="104">
        <v>112</v>
      </c>
      <c r="C793" s="134" t="s">
        <v>925</v>
      </c>
      <c r="D793" s="131" t="s">
        <v>926</v>
      </c>
      <c r="E793" s="132"/>
      <c r="F793" s="132">
        <v>1965929315</v>
      </c>
      <c r="G793" s="132"/>
      <c r="H793" s="131" t="s">
        <v>827</v>
      </c>
      <c r="I793" s="134" t="s">
        <v>942</v>
      </c>
      <c r="J793" s="104">
        <v>1</v>
      </c>
      <c r="K793" s="104">
        <v>1</v>
      </c>
      <c r="L793" s="104">
        <v>12</v>
      </c>
      <c r="M793" s="91">
        <f t="shared" si="203"/>
        <v>1</v>
      </c>
      <c r="N793" s="98" t="s">
        <v>64</v>
      </c>
      <c r="O793" s="99" t="s">
        <v>65</v>
      </c>
      <c r="P793" s="151">
        <f t="shared" si="208"/>
        <v>1</v>
      </c>
      <c r="Q793" s="101">
        <f t="shared" si="201"/>
        <v>1965929315</v>
      </c>
      <c r="R793" s="101">
        <f t="shared" si="202"/>
        <v>1965929315</v>
      </c>
      <c r="S793" s="144" t="s">
        <v>56</v>
      </c>
      <c r="T793" s="151">
        <f t="shared" si="205"/>
        <v>0</v>
      </c>
      <c r="U793" s="27" t="str">
        <f t="shared" si="204"/>
        <v>SUBDIRECCION DE GESTION CONTRACTUAL</v>
      </c>
      <c r="V793" s="151" t="str">
        <f t="shared" si="206"/>
        <v>CO-DC</v>
      </c>
      <c r="W793" s="151" t="str">
        <f t="shared" si="207"/>
        <v>Distrito Capital de Bogotá</v>
      </c>
      <c r="X793" s="131" t="s">
        <v>829</v>
      </c>
      <c r="Y793" s="104">
        <v>2427400</v>
      </c>
      <c r="Z793" s="133" t="s">
        <v>830</v>
      </c>
    </row>
    <row r="794" spans="1:26" s="5" customFormat="1" ht="12.75" hidden="1" customHeight="1" x14ac:dyDescent="0.2">
      <c r="A794" s="171" t="s">
        <v>824</v>
      </c>
      <c r="B794" s="104">
        <v>113</v>
      </c>
      <c r="C794" s="134" t="s">
        <v>925</v>
      </c>
      <c r="D794" s="131" t="s">
        <v>926</v>
      </c>
      <c r="E794" s="132"/>
      <c r="F794" s="132">
        <v>6443016559</v>
      </c>
      <c r="G794" s="132"/>
      <c r="H794" s="131" t="s">
        <v>827</v>
      </c>
      <c r="I794" s="134" t="s">
        <v>943</v>
      </c>
      <c r="J794" s="104">
        <v>1</v>
      </c>
      <c r="K794" s="104">
        <v>1</v>
      </c>
      <c r="L794" s="104">
        <v>12</v>
      </c>
      <c r="M794" s="91">
        <f t="shared" ref="M794:M802" si="209">IF(ISBLANK(J794),"",1)</f>
        <v>1</v>
      </c>
      <c r="N794" s="98" t="s">
        <v>64</v>
      </c>
      <c r="O794" s="99" t="s">
        <v>65</v>
      </c>
      <c r="P794" s="151">
        <f t="shared" si="208"/>
        <v>1</v>
      </c>
      <c r="Q794" s="101">
        <f t="shared" si="201"/>
        <v>6443016559</v>
      </c>
      <c r="R794" s="101">
        <f t="shared" si="202"/>
        <v>6443016559</v>
      </c>
      <c r="S794" s="144" t="s">
        <v>56</v>
      </c>
      <c r="T794" s="151">
        <f t="shared" si="205"/>
        <v>0</v>
      </c>
      <c r="U794" s="27" t="str">
        <f t="shared" ref="U794:U821" si="210">IF(ISBLANK(N794),"","SUBDIRECCION DE GESTION CONTRACTUAL")</f>
        <v>SUBDIRECCION DE GESTION CONTRACTUAL</v>
      </c>
      <c r="V794" s="151" t="str">
        <f t="shared" si="206"/>
        <v>CO-DC</v>
      </c>
      <c r="W794" s="151" t="str">
        <f t="shared" si="207"/>
        <v>Distrito Capital de Bogotá</v>
      </c>
      <c r="X794" s="131" t="s">
        <v>829</v>
      </c>
      <c r="Y794" s="104">
        <v>2427400</v>
      </c>
      <c r="Z794" s="133" t="s">
        <v>830</v>
      </c>
    </row>
    <row r="795" spans="1:26" s="5" customFormat="1" ht="12.75" hidden="1" customHeight="1" x14ac:dyDescent="0.2">
      <c r="A795" s="171" t="s">
        <v>824</v>
      </c>
      <c r="B795" s="104">
        <v>114</v>
      </c>
      <c r="C795" s="134" t="s">
        <v>925</v>
      </c>
      <c r="D795" s="131" t="s">
        <v>926</v>
      </c>
      <c r="E795" s="132"/>
      <c r="F795" s="132">
        <v>5349657667.9499998</v>
      </c>
      <c r="G795" s="132"/>
      <c r="H795" s="131" t="s">
        <v>827</v>
      </c>
      <c r="I795" s="134" t="s">
        <v>944</v>
      </c>
      <c r="J795" s="104">
        <v>1</v>
      </c>
      <c r="K795" s="104">
        <v>1</v>
      </c>
      <c r="L795" s="104">
        <v>12</v>
      </c>
      <c r="M795" s="91">
        <f t="shared" si="209"/>
        <v>1</v>
      </c>
      <c r="N795" s="98" t="s">
        <v>64</v>
      </c>
      <c r="O795" s="99" t="s">
        <v>65</v>
      </c>
      <c r="P795" s="151">
        <f t="shared" si="208"/>
        <v>1</v>
      </c>
      <c r="Q795" s="101">
        <f t="shared" si="201"/>
        <v>5349657667.9499998</v>
      </c>
      <c r="R795" s="101">
        <f t="shared" si="202"/>
        <v>5349657667.9499998</v>
      </c>
      <c r="S795" s="144" t="s">
        <v>56</v>
      </c>
      <c r="T795" s="151">
        <f t="shared" ref="T795:T821" si="211">IF(ISBLANK(S795),"",IF(VALUE(S795)=0,0,IF(VALUE(S795)=1,3,"")))</f>
        <v>0</v>
      </c>
      <c r="U795" s="27" t="str">
        <f t="shared" si="210"/>
        <v>SUBDIRECCION DE GESTION CONTRACTUAL</v>
      </c>
      <c r="V795" s="151" t="str">
        <f t="shared" si="206"/>
        <v>CO-DC</v>
      </c>
      <c r="W795" s="151" t="str">
        <f t="shared" si="207"/>
        <v>Distrito Capital de Bogotá</v>
      </c>
      <c r="X795" s="131" t="s">
        <v>829</v>
      </c>
      <c r="Y795" s="104">
        <v>2427400</v>
      </c>
      <c r="Z795" s="133" t="s">
        <v>830</v>
      </c>
    </row>
    <row r="796" spans="1:26" s="5" customFormat="1" ht="12.75" hidden="1" customHeight="1" x14ac:dyDescent="0.2">
      <c r="A796" s="171" t="s">
        <v>824</v>
      </c>
      <c r="B796" s="104">
        <v>115</v>
      </c>
      <c r="C796" s="134" t="s">
        <v>925</v>
      </c>
      <c r="D796" s="131" t="s">
        <v>926</v>
      </c>
      <c r="E796" s="132"/>
      <c r="F796" s="132">
        <v>4254451334</v>
      </c>
      <c r="G796" s="132"/>
      <c r="H796" s="131" t="s">
        <v>827</v>
      </c>
      <c r="I796" s="134" t="s">
        <v>945</v>
      </c>
      <c r="J796" s="104">
        <v>1</v>
      </c>
      <c r="K796" s="104">
        <v>1</v>
      </c>
      <c r="L796" s="104">
        <v>12</v>
      </c>
      <c r="M796" s="91">
        <f t="shared" si="209"/>
        <v>1</v>
      </c>
      <c r="N796" s="98" t="s">
        <v>64</v>
      </c>
      <c r="O796" s="99" t="s">
        <v>65</v>
      </c>
      <c r="P796" s="151">
        <f t="shared" si="208"/>
        <v>1</v>
      </c>
      <c r="Q796" s="101">
        <f t="shared" si="201"/>
        <v>4254451334</v>
      </c>
      <c r="R796" s="101">
        <f t="shared" si="202"/>
        <v>4254451334</v>
      </c>
      <c r="S796" s="144" t="s">
        <v>56</v>
      </c>
      <c r="T796" s="151">
        <f t="shared" si="211"/>
        <v>0</v>
      </c>
      <c r="U796" s="27" t="str">
        <f t="shared" si="210"/>
        <v>SUBDIRECCION DE GESTION CONTRACTUAL</v>
      </c>
      <c r="V796" s="151" t="str">
        <f t="shared" si="206"/>
        <v>CO-DC</v>
      </c>
      <c r="W796" s="151" t="str">
        <f t="shared" si="207"/>
        <v>Distrito Capital de Bogotá</v>
      </c>
      <c r="X796" s="131" t="s">
        <v>829</v>
      </c>
      <c r="Y796" s="104">
        <v>2427400</v>
      </c>
      <c r="Z796" s="133" t="s">
        <v>830</v>
      </c>
    </row>
    <row r="797" spans="1:26" s="5" customFormat="1" ht="12.75" hidden="1" customHeight="1" x14ac:dyDescent="0.2">
      <c r="A797" s="171" t="s">
        <v>824</v>
      </c>
      <c r="B797" s="104">
        <v>116</v>
      </c>
      <c r="C797" s="134" t="s">
        <v>925</v>
      </c>
      <c r="D797" s="131" t="s">
        <v>926</v>
      </c>
      <c r="E797" s="132"/>
      <c r="F797" s="132">
        <v>1664508782.5999999</v>
      </c>
      <c r="G797" s="132"/>
      <c r="H797" s="131" t="s">
        <v>827</v>
      </c>
      <c r="I797" s="134" t="s">
        <v>946</v>
      </c>
      <c r="J797" s="104">
        <v>1</v>
      </c>
      <c r="K797" s="104">
        <v>1</v>
      </c>
      <c r="L797" s="104">
        <v>12</v>
      </c>
      <c r="M797" s="91">
        <f t="shared" si="209"/>
        <v>1</v>
      </c>
      <c r="N797" s="98" t="s">
        <v>64</v>
      </c>
      <c r="O797" s="99" t="s">
        <v>65</v>
      </c>
      <c r="P797" s="151">
        <f t="shared" si="208"/>
        <v>1</v>
      </c>
      <c r="Q797" s="101">
        <f t="shared" si="201"/>
        <v>1664508782.5999999</v>
      </c>
      <c r="R797" s="101">
        <f t="shared" si="202"/>
        <v>1664508782.5999999</v>
      </c>
      <c r="S797" s="144" t="s">
        <v>56</v>
      </c>
      <c r="T797" s="151">
        <f t="shared" si="211"/>
        <v>0</v>
      </c>
      <c r="U797" s="27" t="str">
        <f t="shared" si="210"/>
        <v>SUBDIRECCION DE GESTION CONTRACTUAL</v>
      </c>
      <c r="V797" s="151" t="str">
        <f t="shared" si="206"/>
        <v>CO-DC</v>
      </c>
      <c r="W797" s="151" t="str">
        <f t="shared" si="207"/>
        <v>Distrito Capital de Bogotá</v>
      </c>
      <c r="X797" s="131" t="s">
        <v>829</v>
      </c>
      <c r="Y797" s="104">
        <v>2427400</v>
      </c>
      <c r="Z797" s="133" t="s">
        <v>830</v>
      </c>
    </row>
    <row r="798" spans="1:26" s="5" customFormat="1" ht="12.75" hidden="1" customHeight="1" x14ac:dyDescent="0.2">
      <c r="A798" s="171" t="s">
        <v>824</v>
      </c>
      <c r="B798" s="104">
        <v>117</v>
      </c>
      <c r="C798" s="134" t="s">
        <v>947</v>
      </c>
      <c r="D798" s="131" t="s">
        <v>948</v>
      </c>
      <c r="E798" s="132"/>
      <c r="F798" s="132">
        <v>608003369</v>
      </c>
      <c r="G798" s="132"/>
      <c r="H798" s="131">
        <v>45121500</v>
      </c>
      <c r="I798" s="134" t="s">
        <v>949</v>
      </c>
      <c r="J798" s="104">
        <v>1</v>
      </c>
      <c r="K798" s="104">
        <v>1</v>
      </c>
      <c r="L798" s="104">
        <v>12</v>
      </c>
      <c r="M798" s="91">
        <f t="shared" si="209"/>
        <v>1</v>
      </c>
      <c r="N798" s="98" t="s">
        <v>64</v>
      </c>
      <c r="O798" s="99" t="s">
        <v>65</v>
      </c>
      <c r="P798" s="151">
        <f t="shared" si="208"/>
        <v>1</v>
      </c>
      <c r="Q798" s="101">
        <f t="shared" si="201"/>
        <v>608003369</v>
      </c>
      <c r="R798" s="101">
        <f t="shared" si="202"/>
        <v>608003369</v>
      </c>
      <c r="S798" s="144" t="s">
        <v>56</v>
      </c>
      <c r="T798" s="151">
        <f t="shared" si="211"/>
        <v>0</v>
      </c>
      <c r="U798" s="27" t="str">
        <f t="shared" si="210"/>
        <v>SUBDIRECCION DE GESTION CONTRACTUAL</v>
      </c>
      <c r="V798" s="151" t="str">
        <f t="shared" si="206"/>
        <v>CO-DC</v>
      </c>
      <c r="W798" s="151" t="str">
        <f t="shared" si="207"/>
        <v>Distrito Capital de Bogotá</v>
      </c>
      <c r="X798" s="131" t="s">
        <v>829</v>
      </c>
      <c r="Y798" s="104">
        <v>2427400</v>
      </c>
      <c r="Z798" s="133" t="s">
        <v>830</v>
      </c>
    </row>
    <row r="799" spans="1:26" s="5" customFormat="1" ht="12.75" hidden="1" customHeight="1" x14ac:dyDescent="0.2">
      <c r="A799" s="171" t="s">
        <v>824</v>
      </c>
      <c r="B799" s="104">
        <v>118</v>
      </c>
      <c r="C799" s="134" t="s">
        <v>947</v>
      </c>
      <c r="D799" s="131" t="s">
        <v>948</v>
      </c>
      <c r="E799" s="132"/>
      <c r="F799" s="132">
        <v>491099100</v>
      </c>
      <c r="G799" s="132"/>
      <c r="H799" s="131">
        <v>45121500</v>
      </c>
      <c r="I799" s="134" t="s">
        <v>950</v>
      </c>
      <c r="J799" s="104">
        <v>1</v>
      </c>
      <c r="K799" s="104">
        <v>1</v>
      </c>
      <c r="L799" s="104">
        <v>12</v>
      </c>
      <c r="M799" s="91">
        <f t="shared" si="209"/>
        <v>1</v>
      </c>
      <c r="N799" s="98" t="s">
        <v>64</v>
      </c>
      <c r="O799" s="99" t="s">
        <v>65</v>
      </c>
      <c r="P799" s="151">
        <f t="shared" si="208"/>
        <v>1</v>
      </c>
      <c r="Q799" s="101">
        <f t="shared" si="201"/>
        <v>491099100</v>
      </c>
      <c r="R799" s="101">
        <f t="shared" si="202"/>
        <v>491099100</v>
      </c>
      <c r="S799" s="144" t="s">
        <v>56</v>
      </c>
      <c r="T799" s="151">
        <f t="shared" si="211"/>
        <v>0</v>
      </c>
      <c r="U799" s="27" t="str">
        <f t="shared" si="210"/>
        <v>SUBDIRECCION DE GESTION CONTRACTUAL</v>
      </c>
      <c r="V799" s="151" t="str">
        <f t="shared" si="206"/>
        <v>CO-DC</v>
      </c>
      <c r="W799" s="151" t="str">
        <f t="shared" si="207"/>
        <v>Distrito Capital de Bogotá</v>
      </c>
      <c r="X799" s="131" t="s">
        <v>829</v>
      </c>
      <c r="Y799" s="104">
        <v>2427400</v>
      </c>
      <c r="Z799" s="133" t="s">
        <v>830</v>
      </c>
    </row>
    <row r="800" spans="1:26" s="5" customFormat="1" ht="12.75" hidden="1" customHeight="1" x14ac:dyDescent="0.2">
      <c r="A800" s="171" t="s">
        <v>824</v>
      </c>
      <c r="B800" s="104">
        <v>119</v>
      </c>
      <c r="C800" s="134" t="s">
        <v>947</v>
      </c>
      <c r="D800" s="131" t="s">
        <v>948</v>
      </c>
      <c r="E800" s="132"/>
      <c r="F800" s="132">
        <v>509619274</v>
      </c>
      <c r="G800" s="132"/>
      <c r="H800" s="131">
        <v>45121500</v>
      </c>
      <c r="I800" s="134" t="s">
        <v>951</v>
      </c>
      <c r="J800" s="104">
        <v>1</v>
      </c>
      <c r="K800" s="104">
        <v>1</v>
      </c>
      <c r="L800" s="104">
        <v>12</v>
      </c>
      <c r="M800" s="91">
        <f t="shared" si="209"/>
        <v>1</v>
      </c>
      <c r="N800" s="98" t="s">
        <v>64</v>
      </c>
      <c r="O800" s="99" t="s">
        <v>65</v>
      </c>
      <c r="P800" s="151">
        <f t="shared" si="208"/>
        <v>1</v>
      </c>
      <c r="Q800" s="101">
        <f t="shared" si="201"/>
        <v>509619274</v>
      </c>
      <c r="R800" s="101">
        <f t="shared" si="202"/>
        <v>509619274</v>
      </c>
      <c r="S800" s="144" t="s">
        <v>56</v>
      </c>
      <c r="T800" s="151">
        <f t="shared" si="211"/>
        <v>0</v>
      </c>
      <c r="U800" s="27" t="str">
        <f t="shared" si="210"/>
        <v>SUBDIRECCION DE GESTION CONTRACTUAL</v>
      </c>
      <c r="V800" s="151" t="str">
        <f t="shared" si="206"/>
        <v>CO-DC</v>
      </c>
      <c r="W800" s="151" t="str">
        <f t="shared" si="207"/>
        <v>Distrito Capital de Bogotá</v>
      </c>
      <c r="X800" s="131" t="s">
        <v>829</v>
      </c>
      <c r="Y800" s="104">
        <v>2427400</v>
      </c>
      <c r="Z800" s="133" t="s">
        <v>830</v>
      </c>
    </row>
    <row r="801" spans="1:26" s="5" customFormat="1" ht="12.75" hidden="1" customHeight="1" x14ac:dyDescent="0.2">
      <c r="A801" s="171" t="s">
        <v>824</v>
      </c>
      <c r="B801" s="104">
        <v>120</v>
      </c>
      <c r="C801" s="134" t="s">
        <v>947</v>
      </c>
      <c r="D801" s="131" t="s">
        <v>948</v>
      </c>
      <c r="E801" s="132"/>
      <c r="F801" s="132">
        <v>17982695111</v>
      </c>
      <c r="G801" s="132"/>
      <c r="H801" s="131">
        <v>45121500</v>
      </c>
      <c r="I801" s="134" t="s">
        <v>952</v>
      </c>
      <c r="J801" s="104">
        <v>1</v>
      </c>
      <c r="K801" s="104">
        <v>1</v>
      </c>
      <c r="L801" s="104">
        <v>12</v>
      </c>
      <c r="M801" s="91">
        <f t="shared" si="209"/>
        <v>1</v>
      </c>
      <c r="N801" s="98" t="s">
        <v>64</v>
      </c>
      <c r="O801" s="99" t="s">
        <v>65</v>
      </c>
      <c r="P801" s="151">
        <f t="shared" si="208"/>
        <v>1</v>
      </c>
      <c r="Q801" s="101">
        <f t="shared" si="201"/>
        <v>17982695111</v>
      </c>
      <c r="R801" s="101">
        <f t="shared" si="202"/>
        <v>17982695111</v>
      </c>
      <c r="S801" s="144" t="s">
        <v>56</v>
      </c>
      <c r="T801" s="151">
        <f t="shared" si="211"/>
        <v>0</v>
      </c>
      <c r="U801" s="27" t="str">
        <f t="shared" si="210"/>
        <v>SUBDIRECCION DE GESTION CONTRACTUAL</v>
      </c>
      <c r="V801" s="151" t="str">
        <f t="shared" si="206"/>
        <v>CO-DC</v>
      </c>
      <c r="W801" s="151" t="str">
        <f t="shared" si="207"/>
        <v>Distrito Capital de Bogotá</v>
      </c>
      <c r="X801" s="131" t="s">
        <v>829</v>
      </c>
      <c r="Y801" s="104">
        <v>2427400</v>
      </c>
      <c r="Z801" s="133" t="s">
        <v>830</v>
      </c>
    </row>
    <row r="802" spans="1:26" s="5" customFormat="1" ht="12.75" hidden="1" customHeight="1" x14ac:dyDescent="0.2">
      <c r="A802" s="171" t="s">
        <v>824</v>
      </c>
      <c r="B802" s="104">
        <v>121</v>
      </c>
      <c r="C802" s="134" t="s">
        <v>947</v>
      </c>
      <c r="D802" s="131" t="s">
        <v>948</v>
      </c>
      <c r="E802" s="132"/>
      <c r="F802" s="132">
        <f>1500000000-5443831</f>
        <v>1494556169</v>
      </c>
      <c r="G802" s="132"/>
      <c r="H802" s="131">
        <v>80111600</v>
      </c>
      <c r="I802" s="134" t="s">
        <v>953</v>
      </c>
      <c r="J802" s="104">
        <v>1</v>
      </c>
      <c r="K802" s="104">
        <v>1</v>
      </c>
      <c r="L802" s="104">
        <v>12</v>
      </c>
      <c r="M802" s="91">
        <f t="shared" si="209"/>
        <v>1</v>
      </c>
      <c r="N802" s="98" t="s">
        <v>54</v>
      </c>
      <c r="O802" s="99" t="s">
        <v>55</v>
      </c>
      <c r="P802" s="151">
        <f t="shared" si="208"/>
        <v>1</v>
      </c>
      <c r="Q802" s="101">
        <f t="shared" si="201"/>
        <v>1494556169</v>
      </c>
      <c r="R802" s="101">
        <f t="shared" si="202"/>
        <v>1494556169</v>
      </c>
      <c r="S802" s="144" t="s">
        <v>56</v>
      </c>
      <c r="T802" s="151">
        <f t="shared" si="211"/>
        <v>0</v>
      </c>
      <c r="U802" s="27" t="str">
        <f t="shared" si="210"/>
        <v>SUBDIRECCION DE GESTION CONTRACTUAL</v>
      </c>
      <c r="V802" s="151" t="str">
        <f t="shared" si="206"/>
        <v>CO-DC</v>
      </c>
      <c r="W802" s="151" t="str">
        <f t="shared" si="207"/>
        <v>Distrito Capital de Bogotá</v>
      </c>
      <c r="X802" s="131" t="s">
        <v>829</v>
      </c>
      <c r="Y802" s="104">
        <v>2427400</v>
      </c>
      <c r="Z802" s="133" t="s">
        <v>830</v>
      </c>
    </row>
    <row r="803" spans="1:26" s="5" customFormat="1" ht="12.75" hidden="1" customHeight="1" x14ac:dyDescent="0.2">
      <c r="A803" s="171" t="s">
        <v>824</v>
      </c>
      <c r="B803" s="104">
        <v>122</v>
      </c>
      <c r="C803" s="134" t="s">
        <v>825</v>
      </c>
      <c r="D803" s="131" t="s">
        <v>826</v>
      </c>
      <c r="E803" s="132"/>
      <c r="F803" s="132">
        <v>117000000</v>
      </c>
      <c r="G803" s="132"/>
      <c r="H803" s="131" t="s">
        <v>119</v>
      </c>
      <c r="I803" s="134" t="s">
        <v>954</v>
      </c>
      <c r="J803" s="104">
        <v>6</v>
      </c>
      <c r="K803" s="104">
        <v>6</v>
      </c>
      <c r="L803" s="104">
        <v>6</v>
      </c>
      <c r="M803" s="91">
        <v>1</v>
      </c>
      <c r="N803" s="185" t="s">
        <v>54</v>
      </c>
      <c r="O803" s="99" t="s">
        <v>55</v>
      </c>
      <c r="P803" s="151">
        <f t="shared" si="208"/>
        <v>1</v>
      </c>
      <c r="Q803" s="101">
        <f>IF(VALUE(E803+F803+G803)=0,"",E803+F803+G803)</f>
        <v>117000000</v>
      </c>
      <c r="R803" s="101">
        <f>IF(VALUE(F803)=0,"",F803)</f>
        <v>117000000</v>
      </c>
      <c r="S803" s="144" t="s">
        <v>56</v>
      </c>
      <c r="T803" s="151">
        <f t="shared" si="211"/>
        <v>0</v>
      </c>
      <c r="U803" s="27" t="str">
        <f t="shared" si="210"/>
        <v>SUBDIRECCION DE GESTION CONTRACTUAL</v>
      </c>
      <c r="V803" s="151" t="str">
        <f t="shared" si="206"/>
        <v>CO-DC</v>
      </c>
      <c r="W803" s="151" t="str">
        <f t="shared" si="207"/>
        <v>Distrito Capital de Bogotá</v>
      </c>
      <c r="X803" s="131" t="s">
        <v>829</v>
      </c>
      <c r="Y803" s="104">
        <v>2427400</v>
      </c>
      <c r="Z803" s="133" t="s">
        <v>830</v>
      </c>
    </row>
    <row r="804" spans="1:26" s="5" customFormat="1" ht="12.75" hidden="1" customHeight="1" x14ac:dyDescent="0.2">
      <c r="A804" s="171" t="s">
        <v>824</v>
      </c>
      <c r="B804" s="104">
        <v>123</v>
      </c>
      <c r="C804" s="134" t="s">
        <v>825</v>
      </c>
      <c r="D804" s="131" t="s">
        <v>826</v>
      </c>
      <c r="E804" s="132"/>
      <c r="F804" s="132">
        <f>370000000</f>
        <v>370000000</v>
      </c>
      <c r="G804" s="132"/>
      <c r="H804" s="131" t="s">
        <v>67</v>
      </c>
      <c r="I804" s="134" t="s">
        <v>923</v>
      </c>
      <c r="J804" s="104">
        <v>2</v>
      </c>
      <c r="K804" s="104">
        <v>3</v>
      </c>
      <c r="L804" s="104">
        <v>9</v>
      </c>
      <c r="M804" s="91">
        <v>1</v>
      </c>
      <c r="N804" s="98" t="s">
        <v>69</v>
      </c>
      <c r="O804" s="99" t="s">
        <v>70</v>
      </c>
      <c r="P804" s="151">
        <f t="shared" si="208"/>
        <v>1</v>
      </c>
      <c r="Q804" s="101">
        <f t="shared" ref="Q804:Q835" si="212">+E804+F804+G804</f>
        <v>370000000</v>
      </c>
      <c r="R804" s="101">
        <f t="shared" ref="R804:R835" si="213">+F804</f>
        <v>370000000</v>
      </c>
      <c r="S804" s="144" t="s">
        <v>56</v>
      </c>
      <c r="T804" s="151">
        <f t="shared" si="211"/>
        <v>0</v>
      </c>
      <c r="U804" s="27" t="str">
        <f t="shared" si="210"/>
        <v>SUBDIRECCION DE GESTION CONTRACTUAL</v>
      </c>
      <c r="V804" s="151" t="str">
        <f t="shared" si="206"/>
        <v>CO-DC</v>
      </c>
      <c r="W804" s="151" t="str">
        <f t="shared" si="207"/>
        <v>Distrito Capital de Bogotá</v>
      </c>
      <c r="X804" s="131" t="s">
        <v>829</v>
      </c>
      <c r="Y804" s="104">
        <v>2427400</v>
      </c>
      <c r="Z804" s="133" t="s">
        <v>830</v>
      </c>
    </row>
    <row r="805" spans="1:26" s="5" customFormat="1" ht="12.75" hidden="1" customHeight="1" x14ac:dyDescent="0.2">
      <c r="A805" s="171" t="s">
        <v>824</v>
      </c>
      <c r="B805" s="104">
        <v>124</v>
      </c>
      <c r="C805" s="134" t="s">
        <v>947</v>
      </c>
      <c r="D805" s="131" t="s">
        <v>948</v>
      </c>
      <c r="E805" s="132"/>
      <c r="F805" s="132">
        <v>10497683192</v>
      </c>
      <c r="G805" s="132"/>
      <c r="H805" s="131">
        <v>43191510</v>
      </c>
      <c r="I805" s="134" t="s">
        <v>955</v>
      </c>
      <c r="J805" s="104">
        <v>2</v>
      </c>
      <c r="K805" s="104">
        <v>3</v>
      </c>
      <c r="L805" s="104">
        <v>9</v>
      </c>
      <c r="M805" s="91">
        <f t="shared" ref="M805:M821" si="214">IF(ISBLANK(J805),"",1)</f>
        <v>1</v>
      </c>
      <c r="N805" s="98" t="s">
        <v>64</v>
      </c>
      <c r="O805" s="99" t="s">
        <v>65</v>
      </c>
      <c r="P805" s="151">
        <f t="shared" si="208"/>
        <v>1</v>
      </c>
      <c r="Q805" s="101">
        <f t="shared" si="212"/>
        <v>10497683192</v>
      </c>
      <c r="R805" s="101">
        <f t="shared" si="213"/>
        <v>10497683192</v>
      </c>
      <c r="S805" s="144" t="s">
        <v>56</v>
      </c>
      <c r="T805" s="151">
        <f t="shared" si="211"/>
        <v>0</v>
      </c>
      <c r="U805" s="27" t="str">
        <f t="shared" si="210"/>
        <v>SUBDIRECCION DE GESTION CONTRACTUAL</v>
      </c>
      <c r="V805" s="151" t="str">
        <f t="shared" si="206"/>
        <v>CO-DC</v>
      </c>
      <c r="W805" s="151" t="str">
        <f t="shared" si="207"/>
        <v>Distrito Capital de Bogotá</v>
      </c>
      <c r="X805" s="131" t="s">
        <v>829</v>
      </c>
      <c r="Y805" s="104">
        <v>2427400</v>
      </c>
      <c r="Z805" s="133" t="s">
        <v>830</v>
      </c>
    </row>
    <row r="806" spans="1:26" s="5" customFormat="1" ht="12.75" hidden="1" customHeight="1" x14ac:dyDescent="0.2">
      <c r="A806" s="171" t="s">
        <v>824</v>
      </c>
      <c r="B806" s="104">
        <v>125</v>
      </c>
      <c r="C806" s="134" t="s">
        <v>947</v>
      </c>
      <c r="D806" s="131" t="s">
        <v>948</v>
      </c>
      <c r="E806" s="132"/>
      <c r="F806" s="132">
        <v>9075173050</v>
      </c>
      <c r="G806" s="132"/>
      <c r="H806" s="131" t="s">
        <v>956</v>
      </c>
      <c r="I806" s="134" t="s">
        <v>957</v>
      </c>
      <c r="J806" s="104">
        <v>3</v>
      </c>
      <c r="K806" s="104">
        <v>3</v>
      </c>
      <c r="L806" s="104">
        <v>9</v>
      </c>
      <c r="M806" s="91">
        <f t="shared" si="214"/>
        <v>1</v>
      </c>
      <c r="N806" s="98" t="s">
        <v>64</v>
      </c>
      <c r="O806" s="99" t="s">
        <v>65</v>
      </c>
      <c r="P806" s="151">
        <f t="shared" si="208"/>
        <v>1</v>
      </c>
      <c r="Q806" s="101">
        <f t="shared" si="212"/>
        <v>9075173050</v>
      </c>
      <c r="R806" s="101">
        <f t="shared" si="213"/>
        <v>9075173050</v>
      </c>
      <c r="S806" s="144" t="s">
        <v>56</v>
      </c>
      <c r="T806" s="151">
        <f t="shared" si="211"/>
        <v>0</v>
      </c>
      <c r="U806" s="27" t="str">
        <f t="shared" si="210"/>
        <v>SUBDIRECCION DE GESTION CONTRACTUAL</v>
      </c>
      <c r="V806" s="151" t="str">
        <f t="shared" si="206"/>
        <v>CO-DC</v>
      </c>
      <c r="W806" s="151" t="str">
        <f t="shared" si="207"/>
        <v>Distrito Capital de Bogotá</v>
      </c>
      <c r="X806" s="131" t="s">
        <v>829</v>
      </c>
      <c r="Y806" s="104">
        <v>2427400</v>
      </c>
      <c r="Z806" s="133" t="s">
        <v>830</v>
      </c>
    </row>
    <row r="807" spans="1:26" s="5" customFormat="1" ht="12.75" hidden="1" customHeight="1" x14ac:dyDescent="0.2">
      <c r="A807" s="171" t="s">
        <v>824</v>
      </c>
      <c r="B807" s="104">
        <v>126</v>
      </c>
      <c r="C807" s="134" t="s">
        <v>825</v>
      </c>
      <c r="D807" s="131" t="s">
        <v>826</v>
      </c>
      <c r="E807" s="132"/>
      <c r="F807" s="132">
        <v>2312517040.5</v>
      </c>
      <c r="G807" s="132">
        <v>2312517040.5</v>
      </c>
      <c r="H807" s="131" t="s">
        <v>827</v>
      </c>
      <c r="I807" s="134" t="s">
        <v>958</v>
      </c>
      <c r="J807" s="104">
        <v>4</v>
      </c>
      <c r="K807" s="104">
        <v>4</v>
      </c>
      <c r="L807" s="104">
        <v>17</v>
      </c>
      <c r="M807" s="91">
        <f t="shared" si="214"/>
        <v>1</v>
      </c>
      <c r="N807" s="98" t="s">
        <v>64</v>
      </c>
      <c r="O807" s="99" t="s">
        <v>65</v>
      </c>
      <c r="P807" s="151">
        <f t="shared" si="208"/>
        <v>1</v>
      </c>
      <c r="Q807" s="101">
        <f t="shared" si="212"/>
        <v>4625034081</v>
      </c>
      <c r="R807" s="101">
        <f t="shared" si="213"/>
        <v>2312517040.5</v>
      </c>
      <c r="S807" s="144">
        <v>1</v>
      </c>
      <c r="T807" s="151">
        <f t="shared" si="211"/>
        <v>3</v>
      </c>
      <c r="U807" s="27" t="str">
        <f t="shared" si="210"/>
        <v>SUBDIRECCION DE GESTION CONTRACTUAL</v>
      </c>
      <c r="V807" s="151" t="str">
        <f t="shared" si="206"/>
        <v>CO-DC</v>
      </c>
      <c r="W807" s="151" t="str">
        <f t="shared" si="207"/>
        <v>Distrito Capital de Bogotá</v>
      </c>
      <c r="X807" s="131" t="s">
        <v>829</v>
      </c>
      <c r="Y807" s="104">
        <v>2427400</v>
      </c>
      <c r="Z807" s="133" t="s">
        <v>830</v>
      </c>
    </row>
    <row r="808" spans="1:26" s="5" customFormat="1" ht="12.75" hidden="1" customHeight="1" x14ac:dyDescent="0.2">
      <c r="A808" s="171" t="s">
        <v>824</v>
      </c>
      <c r="B808" s="104">
        <v>127</v>
      </c>
      <c r="C808" s="134" t="s">
        <v>825</v>
      </c>
      <c r="D808" s="131" t="s">
        <v>826</v>
      </c>
      <c r="E808" s="132"/>
      <c r="F808" s="132">
        <v>3379890706</v>
      </c>
      <c r="G808" s="132">
        <v>3379890706</v>
      </c>
      <c r="H808" s="131" t="s">
        <v>827</v>
      </c>
      <c r="I808" s="134" t="s">
        <v>959</v>
      </c>
      <c r="J808" s="104">
        <v>4</v>
      </c>
      <c r="K808" s="104">
        <v>4</v>
      </c>
      <c r="L808" s="104">
        <v>15</v>
      </c>
      <c r="M808" s="91">
        <f t="shared" si="214"/>
        <v>1</v>
      </c>
      <c r="N808" s="98" t="s">
        <v>64</v>
      </c>
      <c r="O808" s="99" t="s">
        <v>65</v>
      </c>
      <c r="P808" s="151">
        <f t="shared" si="208"/>
        <v>1</v>
      </c>
      <c r="Q808" s="101">
        <f t="shared" si="212"/>
        <v>6759781412</v>
      </c>
      <c r="R808" s="101">
        <f t="shared" si="213"/>
        <v>3379890706</v>
      </c>
      <c r="S808" s="144">
        <v>1</v>
      </c>
      <c r="T808" s="151">
        <f t="shared" si="211"/>
        <v>3</v>
      </c>
      <c r="U808" s="27" t="str">
        <f t="shared" si="210"/>
        <v>SUBDIRECCION DE GESTION CONTRACTUAL</v>
      </c>
      <c r="V808" s="151" t="str">
        <f t="shared" si="206"/>
        <v>CO-DC</v>
      </c>
      <c r="W808" s="151" t="str">
        <f t="shared" si="207"/>
        <v>Distrito Capital de Bogotá</v>
      </c>
      <c r="X808" s="131" t="s">
        <v>829</v>
      </c>
      <c r="Y808" s="104">
        <v>2427400</v>
      </c>
      <c r="Z808" s="133" t="s">
        <v>830</v>
      </c>
    </row>
    <row r="809" spans="1:26" s="5" customFormat="1" ht="12.75" hidden="1" customHeight="1" x14ac:dyDescent="0.2">
      <c r="A809" s="171" t="s">
        <v>824</v>
      </c>
      <c r="B809" s="104">
        <v>128</v>
      </c>
      <c r="C809" s="134" t="s">
        <v>825</v>
      </c>
      <c r="D809" s="131" t="s">
        <v>826</v>
      </c>
      <c r="E809" s="132"/>
      <c r="F809" s="132">
        <f>4532938168.5-4532938168.5</f>
        <v>0</v>
      </c>
      <c r="G809" s="132">
        <f>4532938168.5-4532938168.5</f>
        <v>0</v>
      </c>
      <c r="H809" s="131" t="s">
        <v>827</v>
      </c>
      <c r="I809" s="134" t="s">
        <v>960</v>
      </c>
      <c r="J809" s="104">
        <v>4</v>
      </c>
      <c r="K809" s="104">
        <v>4</v>
      </c>
      <c r="L809" s="104">
        <v>18</v>
      </c>
      <c r="M809" s="91">
        <f t="shared" si="214"/>
        <v>1</v>
      </c>
      <c r="N809" s="98" t="s">
        <v>64</v>
      </c>
      <c r="O809" s="99" t="s">
        <v>65</v>
      </c>
      <c r="P809" s="151">
        <f t="shared" si="208"/>
        <v>1</v>
      </c>
      <c r="Q809" s="101">
        <f t="shared" si="212"/>
        <v>0</v>
      </c>
      <c r="R809" s="101">
        <f t="shared" si="213"/>
        <v>0</v>
      </c>
      <c r="S809" s="144">
        <v>1</v>
      </c>
      <c r="T809" s="151">
        <f t="shared" si="211"/>
        <v>3</v>
      </c>
      <c r="U809" s="27" t="str">
        <f t="shared" si="210"/>
        <v>SUBDIRECCION DE GESTION CONTRACTUAL</v>
      </c>
      <c r="V809" s="151" t="str">
        <f t="shared" ref="V809:V821" si="215">IF(ISBLANK(N809),"","CO-DC")</f>
        <v>CO-DC</v>
      </c>
      <c r="W809" s="151" t="str">
        <f t="shared" ref="W809:W821" si="216">IF(ISBLANK(N809),"","Distrito Capital de Bogotá")</f>
        <v>Distrito Capital de Bogotá</v>
      </c>
      <c r="X809" s="131" t="s">
        <v>829</v>
      </c>
      <c r="Y809" s="104">
        <v>2427400</v>
      </c>
      <c r="Z809" s="133" t="s">
        <v>830</v>
      </c>
    </row>
    <row r="810" spans="1:26" s="5" customFormat="1" ht="12.75" hidden="1" customHeight="1" x14ac:dyDescent="0.2">
      <c r="A810" s="171" t="s">
        <v>824</v>
      </c>
      <c r="B810" s="104">
        <v>129</v>
      </c>
      <c r="C810" s="134" t="s">
        <v>825</v>
      </c>
      <c r="D810" s="131" t="s">
        <v>826</v>
      </c>
      <c r="E810" s="132"/>
      <c r="F810" s="132">
        <v>4401844983.5</v>
      </c>
      <c r="G810" s="132">
        <v>4401844983.5</v>
      </c>
      <c r="H810" s="131" t="s">
        <v>827</v>
      </c>
      <c r="I810" s="134" t="s">
        <v>961</v>
      </c>
      <c r="J810" s="104">
        <v>4</v>
      </c>
      <c r="K810" s="104">
        <v>4</v>
      </c>
      <c r="L810" s="104">
        <v>17</v>
      </c>
      <c r="M810" s="91">
        <f t="shared" si="214"/>
        <v>1</v>
      </c>
      <c r="N810" s="98" t="s">
        <v>64</v>
      </c>
      <c r="O810" s="99" t="s">
        <v>65</v>
      </c>
      <c r="P810" s="151">
        <f t="shared" ref="P810:P821" si="217">IF(ISBLANK(N810),"",1)</f>
        <v>1</v>
      </c>
      <c r="Q810" s="101">
        <f t="shared" si="212"/>
        <v>8803689967</v>
      </c>
      <c r="R810" s="101">
        <f t="shared" si="213"/>
        <v>4401844983.5</v>
      </c>
      <c r="S810" s="144">
        <v>1</v>
      </c>
      <c r="T810" s="151">
        <f t="shared" si="211"/>
        <v>3</v>
      </c>
      <c r="U810" s="27" t="str">
        <f t="shared" si="210"/>
        <v>SUBDIRECCION DE GESTION CONTRACTUAL</v>
      </c>
      <c r="V810" s="151" t="str">
        <f t="shared" si="215"/>
        <v>CO-DC</v>
      </c>
      <c r="W810" s="151" t="str">
        <f t="shared" si="216"/>
        <v>Distrito Capital de Bogotá</v>
      </c>
      <c r="X810" s="131" t="s">
        <v>829</v>
      </c>
      <c r="Y810" s="104">
        <v>2427400</v>
      </c>
      <c r="Z810" s="133" t="s">
        <v>830</v>
      </c>
    </row>
    <row r="811" spans="1:26" s="5" customFormat="1" ht="12.75" hidden="1" customHeight="1" x14ac:dyDescent="0.2">
      <c r="A811" s="171" t="s">
        <v>824</v>
      </c>
      <c r="B811" s="104">
        <v>130</v>
      </c>
      <c r="C811" s="134" t="s">
        <v>825</v>
      </c>
      <c r="D811" s="131" t="s">
        <v>826</v>
      </c>
      <c r="E811" s="132"/>
      <c r="F811" s="132">
        <v>2644929944.835</v>
      </c>
      <c r="G811" s="132">
        <v>2644929944.835</v>
      </c>
      <c r="H811" s="131" t="s">
        <v>827</v>
      </c>
      <c r="I811" s="134" t="s">
        <v>962</v>
      </c>
      <c r="J811" s="104">
        <v>4</v>
      </c>
      <c r="K811" s="104">
        <v>4</v>
      </c>
      <c r="L811" s="104">
        <v>13</v>
      </c>
      <c r="M811" s="91">
        <f t="shared" si="214"/>
        <v>1</v>
      </c>
      <c r="N811" s="98" t="s">
        <v>64</v>
      </c>
      <c r="O811" s="99" t="s">
        <v>65</v>
      </c>
      <c r="P811" s="151">
        <f t="shared" si="217"/>
        <v>1</v>
      </c>
      <c r="Q811" s="101">
        <f t="shared" si="212"/>
        <v>5289859889.6700001</v>
      </c>
      <c r="R811" s="101">
        <f t="shared" si="213"/>
        <v>2644929944.835</v>
      </c>
      <c r="S811" s="144">
        <v>1</v>
      </c>
      <c r="T811" s="151">
        <f t="shared" si="211"/>
        <v>3</v>
      </c>
      <c r="U811" s="27" t="str">
        <f t="shared" si="210"/>
        <v>SUBDIRECCION DE GESTION CONTRACTUAL</v>
      </c>
      <c r="V811" s="151" t="str">
        <f t="shared" si="215"/>
        <v>CO-DC</v>
      </c>
      <c r="W811" s="151" t="str">
        <f t="shared" si="216"/>
        <v>Distrito Capital de Bogotá</v>
      </c>
      <c r="X811" s="131" t="s">
        <v>829</v>
      </c>
      <c r="Y811" s="104">
        <v>2427400</v>
      </c>
      <c r="Z811" s="133" t="s">
        <v>830</v>
      </c>
    </row>
    <row r="812" spans="1:26" s="5" customFormat="1" ht="12.75" hidden="1" customHeight="1" x14ac:dyDescent="0.2">
      <c r="A812" s="171" t="s">
        <v>824</v>
      </c>
      <c r="B812" s="104">
        <v>131</v>
      </c>
      <c r="C812" s="134" t="s">
        <v>825</v>
      </c>
      <c r="D812" s="131" t="s">
        <v>826</v>
      </c>
      <c r="E812" s="132"/>
      <c r="F812" s="132">
        <v>3145745081</v>
      </c>
      <c r="G812" s="132">
        <v>12582980325</v>
      </c>
      <c r="H812" s="131" t="s">
        <v>827</v>
      </c>
      <c r="I812" s="134" t="s">
        <v>963</v>
      </c>
      <c r="J812" s="104">
        <v>5</v>
      </c>
      <c r="K812" s="104">
        <v>5</v>
      </c>
      <c r="L812" s="104">
        <v>16</v>
      </c>
      <c r="M812" s="91">
        <f t="shared" si="214"/>
        <v>1</v>
      </c>
      <c r="N812" s="98" t="s">
        <v>64</v>
      </c>
      <c r="O812" s="99" t="s">
        <v>65</v>
      </c>
      <c r="P812" s="151">
        <f t="shared" si="217"/>
        <v>1</v>
      </c>
      <c r="Q812" s="101">
        <f t="shared" si="212"/>
        <v>15728725406</v>
      </c>
      <c r="R812" s="101">
        <f t="shared" si="213"/>
        <v>3145745081</v>
      </c>
      <c r="S812" s="144" t="s">
        <v>56</v>
      </c>
      <c r="T812" s="151">
        <f t="shared" si="211"/>
        <v>0</v>
      </c>
      <c r="U812" s="27" t="str">
        <f t="shared" si="210"/>
        <v>SUBDIRECCION DE GESTION CONTRACTUAL</v>
      </c>
      <c r="V812" s="151" t="str">
        <f t="shared" si="215"/>
        <v>CO-DC</v>
      </c>
      <c r="W812" s="151" t="str">
        <f t="shared" si="216"/>
        <v>Distrito Capital de Bogotá</v>
      </c>
      <c r="X812" s="131" t="s">
        <v>829</v>
      </c>
      <c r="Y812" s="104">
        <v>2427400</v>
      </c>
      <c r="Z812" s="133" t="s">
        <v>830</v>
      </c>
    </row>
    <row r="813" spans="1:26" s="5" customFormat="1" ht="12.75" hidden="1" customHeight="1" x14ac:dyDescent="0.2">
      <c r="A813" s="171" t="s">
        <v>824</v>
      </c>
      <c r="B813" s="104">
        <v>132</v>
      </c>
      <c r="C813" s="134" t="s">
        <v>825</v>
      </c>
      <c r="D813" s="131" t="s">
        <v>826</v>
      </c>
      <c r="E813" s="132"/>
      <c r="F813" s="132">
        <v>26180000</v>
      </c>
      <c r="G813" s="132">
        <v>0</v>
      </c>
      <c r="H813" s="131" t="s">
        <v>964</v>
      </c>
      <c r="I813" s="134" t="s">
        <v>965</v>
      </c>
      <c r="J813" s="104">
        <v>5</v>
      </c>
      <c r="K813" s="104">
        <v>5</v>
      </c>
      <c r="L813" s="104">
        <v>1</v>
      </c>
      <c r="M813" s="91">
        <f t="shared" si="214"/>
        <v>1</v>
      </c>
      <c r="N813" s="98" t="s">
        <v>100</v>
      </c>
      <c r="O813" s="99" t="s">
        <v>101</v>
      </c>
      <c r="P813" s="151">
        <f t="shared" si="217"/>
        <v>1</v>
      </c>
      <c r="Q813" s="101">
        <f t="shared" si="212"/>
        <v>26180000</v>
      </c>
      <c r="R813" s="101">
        <f t="shared" si="213"/>
        <v>26180000</v>
      </c>
      <c r="S813" s="144" t="s">
        <v>56</v>
      </c>
      <c r="T813" s="151">
        <f t="shared" si="211"/>
        <v>0</v>
      </c>
      <c r="U813" s="27" t="str">
        <f t="shared" si="210"/>
        <v>SUBDIRECCION DE GESTION CONTRACTUAL</v>
      </c>
      <c r="V813" s="151" t="str">
        <f t="shared" si="215"/>
        <v>CO-DC</v>
      </c>
      <c r="W813" s="151" t="str">
        <f t="shared" si="216"/>
        <v>Distrito Capital de Bogotá</v>
      </c>
      <c r="X813" s="131" t="s">
        <v>829</v>
      </c>
      <c r="Y813" s="104">
        <v>2427400</v>
      </c>
      <c r="Z813" s="133" t="s">
        <v>830</v>
      </c>
    </row>
    <row r="814" spans="1:26" s="5" customFormat="1" ht="12.75" hidden="1" customHeight="1" x14ac:dyDescent="0.2">
      <c r="A814" s="171" t="s">
        <v>824</v>
      </c>
      <c r="B814" s="104">
        <v>133</v>
      </c>
      <c r="C814" s="134" t="s">
        <v>825</v>
      </c>
      <c r="D814" s="131" t="s">
        <v>826</v>
      </c>
      <c r="E814" s="132"/>
      <c r="F814" s="132">
        <f>14113054302.9-14113054302.9</f>
        <v>0</v>
      </c>
      <c r="G814" s="132"/>
      <c r="H814" s="131">
        <v>45121500</v>
      </c>
      <c r="I814" s="134" t="s">
        <v>966</v>
      </c>
      <c r="J814" s="104">
        <v>6</v>
      </c>
      <c r="K814" s="104">
        <v>6</v>
      </c>
      <c r="L814" s="104">
        <v>13</v>
      </c>
      <c r="M814" s="91">
        <f t="shared" si="214"/>
        <v>1</v>
      </c>
      <c r="N814" s="98" t="s">
        <v>54</v>
      </c>
      <c r="O814" s="99" t="s">
        <v>55</v>
      </c>
      <c r="P814" s="151">
        <f t="shared" si="217"/>
        <v>1</v>
      </c>
      <c r="Q814" s="101">
        <f t="shared" si="212"/>
        <v>0</v>
      </c>
      <c r="R814" s="101">
        <f t="shared" si="213"/>
        <v>0</v>
      </c>
      <c r="S814" s="144">
        <v>1</v>
      </c>
      <c r="T814" s="151">
        <f t="shared" si="211"/>
        <v>3</v>
      </c>
      <c r="U814" s="27" t="str">
        <f t="shared" si="210"/>
        <v>SUBDIRECCION DE GESTION CONTRACTUAL</v>
      </c>
      <c r="V814" s="151" t="str">
        <f t="shared" si="215"/>
        <v>CO-DC</v>
      </c>
      <c r="W814" s="151" t="str">
        <f t="shared" si="216"/>
        <v>Distrito Capital de Bogotá</v>
      </c>
      <c r="X814" s="131" t="s">
        <v>829</v>
      </c>
      <c r="Y814" s="104">
        <v>2427400</v>
      </c>
      <c r="Z814" s="88" t="s">
        <v>830</v>
      </c>
    </row>
    <row r="815" spans="1:26" s="5" customFormat="1" ht="12.75" hidden="1" customHeight="1" x14ac:dyDescent="0.2">
      <c r="A815" s="171" t="s">
        <v>824</v>
      </c>
      <c r="B815" s="104">
        <v>134</v>
      </c>
      <c r="C815" s="134" t="s">
        <v>825</v>
      </c>
      <c r="D815" s="131" t="s">
        <v>826</v>
      </c>
      <c r="E815" s="132"/>
      <c r="F815" s="132">
        <f>99986431268.235-99986431268.235</f>
        <v>0</v>
      </c>
      <c r="G815" s="132"/>
      <c r="H815" s="131">
        <v>45121500</v>
      </c>
      <c r="I815" s="134" t="s">
        <v>967</v>
      </c>
      <c r="J815" s="104">
        <v>6</v>
      </c>
      <c r="K815" s="104">
        <v>6</v>
      </c>
      <c r="L815" s="104">
        <v>18</v>
      </c>
      <c r="M815" s="91">
        <f t="shared" si="214"/>
        <v>1</v>
      </c>
      <c r="N815" s="98" t="s">
        <v>54</v>
      </c>
      <c r="O815" s="99" t="s">
        <v>55</v>
      </c>
      <c r="P815" s="151">
        <f t="shared" si="217"/>
        <v>1</v>
      </c>
      <c r="Q815" s="101">
        <f t="shared" si="212"/>
        <v>0</v>
      </c>
      <c r="R815" s="101">
        <f t="shared" si="213"/>
        <v>0</v>
      </c>
      <c r="S815" s="144">
        <v>1</v>
      </c>
      <c r="T815" s="151">
        <f t="shared" si="211"/>
        <v>3</v>
      </c>
      <c r="U815" s="27" t="str">
        <f t="shared" si="210"/>
        <v>SUBDIRECCION DE GESTION CONTRACTUAL</v>
      </c>
      <c r="V815" s="151" t="str">
        <f t="shared" si="215"/>
        <v>CO-DC</v>
      </c>
      <c r="W815" s="151" t="str">
        <f t="shared" si="216"/>
        <v>Distrito Capital de Bogotá</v>
      </c>
      <c r="X815" s="131" t="s">
        <v>829</v>
      </c>
      <c r="Y815" s="104">
        <v>2427400</v>
      </c>
      <c r="Z815" s="133" t="s">
        <v>830</v>
      </c>
    </row>
    <row r="816" spans="1:26" s="5" customFormat="1" ht="12.75" hidden="1" customHeight="1" x14ac:dyDescent="0.2">
      <c r="A816" s="171" t="s">
        <v>824</v>
      </c>
      <c r="B816" s="104">
        <v>135</v>
      </c>
      <c r="C816" s="134" t="s">
        <v>825</v>
      </c>
      <c r="D816" s="131" t="s">
        <v>826</v>
      </c>
      <c r="E816" s="132"/>
      <c r="F816" s="132">
        <f>14000000000-14000000000</f>
        <v>0</v>
      </c>
      <c r="G816" s="132"/>
      <c r="H816" s="131">
        <v>45121500</v>
      </c>
      <c r="I816" s="134" t="s">
        <v>968</v>
      </c>
      <c r="J816" s="104">
        <v>6</v>
      </c>
      <c r="K816" s="104">
        <v>6</v>
      </c>
      <c r="L816" s="104">
        <v>13</v>
      </c>
      <c r="M816" s="91">
        <f t="shared" si="214"/>
        <v>1</v>
      </c>
      <c r="N816" s="98" t="s">
        <v>54</v>
      </c>
      <c r="O816" s="99" t="s">
        <v>55</v>
      </c>
      <c r="P816" s="151">
        <f t="shared" si="217"/>
        <v>1</v>
      </c>
      <c r="Q816" s="101">
        <f t="shared" si="212"/>
        <v>0</v>
      </c>
      <c r="R816" s="101">
        <f t="shared" si="213"/>
        <v>0</v>
      </c>
      <c r="S816" s="144">
        <v>1</v>
      </c>
      <c r="T816" s="151">
        <f t="shared" si="211"/>
        <v>3</v>
      </c>
      <c r="U816" s="27" t="str">
        <f t="shared" si="210"/>
        <v>SUBDIRECCION DE GESTION CONTRACTUAL</v>
      </c>
      <c r="V816" s="151" t="str">
        <f t="shared" si="215"/>
        <v>CO-DC</v>
      </c>
      <c r="W816" s="151" t="str">
        <f t="shared" si="216"/>
        <v>Distrito Capital de Bogotá</v>
      </c>
      <c r="X816" s="131" t="s">
        <v>829</v>
      </c>
      <c r="Y816" s="104">
        <v>2427400</v>
      </c>
      <c r="Z816" s="133" t="s">
        <v>830</v>
      </c>
    </row>
    <row r="817" spans="1:26" s="5" customFormat="1" ht="12.75" hidden="1" customHeight="1" x14ac:dyDescent="0.2">
      <c r="A817" s="171" t="s">
        <v>824</v>
      </c>
      <c r="B817" s="104">
        <v>136</v>
      </c>
      <c r="C817" s="134" t="s">
        <v>825</v>
      </c>
      <c r="D817" s="131" t="s">
        <v>826</v>
      </c>
      <c r="E817" s="132"/>
      <c r="F817" s="132">
        <f>36000000000-36000000000</f>
        <v>0</v>
      </c>
      <c r="G817" s="132"/>
      <c r="H817" s="131">
        <v>43232402</v>
      </c>
      <c r="I817" s="134" t="s">
        <v>969</v>
      </c>
      <c r="J817" s="104">
        <v>6</v>
      </c>
      <c r="K817" s="104">
        <v>6</v>
      </c>
      <c r="L817" s="104">
        <v>18</v>
      </c>
      <c r="M817" s="91">
        <f t="shared" si="214"/>
        <v>1</v>
      </c>
      <c r="N817" s="98" t="s">
        <v>54</v>
      </c>
      <c r="O817" s="99" t="s">
        <v>55</v>
      </c>
      <c r="P817" s="151">
        <f t="shared" si="217"/>
        <v>1</v>
      </c>
      <c r="Q817" s="101">
        <f t="shared" si="212"/>
        <v>0</v>
      </c>
      <c r="R817" s="101">
        <f t="shared" si="213"/>
        <v>0</v>
      </c>
      <c r="S817" s="144">
        <v>1</v>
      </c>
      <c r="T817" s="151">
        <f t="shared" si="211"/>
        <v>3</v>
      </c>
      <c r="U817" s="27" t="str">
        <f t="shared" si="210"/>
        <v>SUBDIRECCION DE GESTION CONTRACTUAL</v>
      </c>
      <c r="V817" s="151" t="str">
        <f t="shared" si="215"/>
        <v>CO-DC</v>
      </c>
      <c r="W817" s="151" t="str">
        <f t="shared" si="216"/>
        <v>Distrito Capital de Bogotá</v>
      </c>
      <c r="X817" s="131" t="s">
        <v>829</v>
      </c>
      <c r="Y817" s="104">
        <v>2427400</v>
      </c>
      <c r="Z817" s="133" t="s">
        <v>830</v>
      </c>
    </row>
    <row r="818" spans="1:26" s="5" customFormat="1" ht="12.75" hidden="1" customHeight="1" x14ac:dyDescent="0.2">
      <c r="A818" s="171" t="s">
        <v>824</v>
      </c>
      <c r="B818" s="104">
        <v>137</v>
      </c>
      <c r="C818" s="134" t="s">
        <v>825</v>
      </c>
      <c r="D818" s="131" t="s">
        <v>826</v>
      </c>
      <c r="E818" s="132"/>
      <c r="F818" s="132">
        <f>3000000000-3000000000</f>
        <v>0</v>
      </c>
      <c r="G818" s="132"/>
      <c r="H818" s="131" t="s">
        <v>827</v>
      </c>
      <c r="I818" s="134" t="s">
        <v>970</v>
      </c>
      <c r="J818" s="104">
        <v>6</v>
      </c>
      <c r="K818" s="104">
        <v>6</v>
      </c>
      <c r="L818" s="104">
        <v>14</v>
      </c>
      <c r="M818" s="91">
        <f t="shared" si="214"/>
        <v>1</v>
      </c>
      <c r="N818" s="98" t="s">
        <v>54</v>
      </c>
      <c r="O818" s="99" t="s">
        <v>55</v>
      </c>
      <c r="P818" s="151">
        <f t="shared" si="217"/>
        <v>1</v>
      </c>
      <c r="Q818" s="101">
        <f t="shared" si="212"/>
        <v>0</v>
      </c>
      <c r="R818" s="101">
        <f t="shared" si="213"/>
        <v>0</v>
      </c>
      <c r="S818" s="144">
        <v>1</v>
      </c>
      <c r="T818" s="151">
        <f t="shared" si="211"/>
        <v>3</v>
      </c>
      <c r="U818" s="27" t="str">
        <f t="shared" si="210"/>
        <v>SUBDIRECCION DE GESTION CONTRACTUAL</v>
      </c>
      <c r="V818" s="151" t="str">
        <f t="shared" si="215"/>
        <v>CO-DC</v>
      </c>
      <c r="W818" s="151" t="str">
        <f t="shared" si="216"/>
        <v>Distrito Capital de Bogotá</v>
      </c>
      <c r="X818" s="131" t="s">
        <v>829</v>
      </c>
      <c r="Y818" s="104">
        <v>2427400</v>
      </c>
      <c r="Z818" s="133" t="s">
        <v>830</v>
      </c>
    </row>
    <row r="819" spans="1:26" s="5" customFormat="1" ht="12.75" hidden="1" customHeight="1" x14ac:dyDescent="0.2">
      <c r="A819" s="171" t="s">
        <v>824</v>
      </c>
      <c r="B819" s="104">
        <v>138</v>
      </c>
      <c r="C819" s="134" t="s">
        <v>825</v>
      </c>
      <c r="D819" s="131" t="s">
        <v>826</v>
      </c>
      <c r="E819" s="132"/>
      <c r="F819" s="132">
        <f>18855243619-18855243619</f>
        <v>0</v>
      </c>
      <c r="G819" s="132"/>
      <c r="H819" s="131" t="s">
        <v>971</v>
      </c>
      <c r="I819" s="134" t="s">
        <v>972</v>
      </c>
      <c r="J819" s="104">
        <v>6</v>
      </c>
      <c r="K819" s="104">
        <v>6</v>
      </c>
      <c r="L819" s="104">
        <v>6</v>
      </c>
      <c r="M819" s="91">
        <f t="shared" si="214"/>
        <v>1</v>
      </c>
      <c r="N819" s="98" t="s">
        <v>54</v>
      </c>
      <c r="O819" s="99" t="s">
        <v>55</v>
      </c>
      <c r="P819" s="151">
        <f t="shared" si="217"/>
        <v>1</v>
      </c>
      <c r="Q819" s="101">
        <f t="shared" si="212"/>
        <v>0</v>
      </c>
      <c r="R819" s="101">
        <f t="shared" si="213"/>
        <v>0</v>
      </c>
      <c r="S819" s="144" t="s">
        <v>56</v>
      </c>
      <c r="T819" s="151">
        <f t="shared" si="211"/>
        <v>0</v>
      </c>
      <c r="U819" s="27" t="str">
        <f t="shared" si="210"/>
        <v>SUBDIRECCION DE GESTION CONTRACTUAL</v>
      </c>
      <c r="V819" s="151" t="str">
        <f t="shared" si="215"/>
        <v>CO-DC</v>
      </c>
      <c r="W819" s="151" t="str">
        <f t="shared" si="216"/>
        <v>Distrito Capital de Bogotá</v>
      </c>
      <c r="X819" s="131" t="s">
        <v>829</v>
      </c>
      <c r="Y819" s="104">
        <v>2427400</v>
      </c>
      <c r="Z819" s="133" t="s">
        <v>830</v>
      </c>
    </row>
    <row r="820" spans="1:26" s="5" customFormat="1" ht="12.75" hidden="1" customHeight="1" x14ac:dyDescent="0.2">
      <c r="A820" s="171" t="s">
        <v>824</v>
      </c>
      <c r="B820" s="104">
        <v>139</v>
      </c>
      <c r="C820" s="134" t="s">
        <v>825</v>
      </c>
      <c r="D820" s="131" t="s">
        <v>826</v>
      </c>
      <c r="E820" s="132"/>
      <c r="F820" s="132">
        <f>15000000000-15000000000</f>
        <v>0</v>
      </c>
      <c r="G820" s="132"/>
      <c r="H820" s="131" t="s">
        <v>971</v>
      </c>
      <c r="I820" s="134" t="s">
        <v>973</v>
      </c>
      <c r="J820" s="104">
        <v>6</v>
      </c>
      <c r="K820" s="104">
        <v>6</v>
      </c>
      <c r="L820" s="104">
        <v>6</v>
      </c>
      <c r="M820" s="91">
        <f t="shared" si="214"/>
        <v>1</v>
      </c>
      <c r="N820" s="98" t="s">
        <v>54</v>
      </c>
      <c r="O820" s="99" t="s">
        <v>55</v>
      </c>
      <c r="P820" s="151">
        <f t="shared" si="217"/>
        <v>1</v>
      </c>
      <c r="Q820" s="101">
        <f t="shared" si="212"/>
        <v>0</v>
      </c>
      <c r="R820" s="101">
        <f t="shared" si="213"/>
        <v>0</v>
      </c>
      <c r="S820" s="144" t="s">
        <v>56</v>
      </c>
      <c r="T820" s="151">
        <f t="shared" si="211"/>
        <v>0</v>
      </c>
      <c r="U820" s="27" t="str">
        <f t="shared" si="210"/>
        <v>SUBDIRECCION DE GESTION CONTRACTUAL</v>
      </c>
      <c r="V820" s="151" t="str">
        <f t="shared" si="215"/>
        <v>CO-DC</v>
      </c>
      <c r="W820" s="151" t="str">
        <f t="shared" si="216"/>
        <v>Distrito Capital de Bogotá</v>
      </c>
      <c r="X820" s="131" t="s">
        <v>829</v>
      </c>
      <c r="Y820" s="104">
        <v>2427400</v>
      </c>
      <c r="Z820" s="133" t="s">
        <v>830</v>
      </c>
    </row>
    <row r="821" spans="1:26" s="5" customFormat="1" ht="12.75" hidden="1" customHeight="1" x14ac:dyDescent="0.2">
      <c r="A821" s="171" t="s">
        <v>824</v>
      </c>
      <c r="B821" s="104">
        <v>140</v>
      </c>
      <c r="C821" s="134" t="s">
        <v>825</v>
      </c>
      <c r="D821" s="131" t="s">
        <v>826</v>
      </c>
      <c r="E821" s="132"/>
      <c r="F821" s="132">
        <v>7500000000</v>
      </c>
      <c r="G821" s="132"/>
      <c r="H821" s="131" t="s">
        <v>974</v>
      </c>
      <c r="I821" s="134" t="s">
        <v>975</v>
      </c>
      <c r="J821" s="104">
        <v>11</v>
      </c>
      <c r="K821" s="104">
        <v>11</v>
      </c>
      <c r="L821" s="104">
        <v>1</v>
      </c>
      <c r="M821" s="91">
        <f t="shared" si="214"/>
        <v>1</v>
      </c>
      <c r="N821" s="98" t="s">
        <v>54</v>
      </c>
      <c r="O821" s="99" t="s">
        <v>55</v>
      </c>
      <c r="P821" s="151">
        <f t="shared" si="217"/>
        <v>1</v>
      </c>
      <c r="Q821" s="101">
        <f t="shared" si="212"/>
        <v>7500000000</v>
      </c>
      <c r="R821" s="101">
        <f t="shared" si="213"/>
        <v>7500000000</v>
      </c>
      <c r="S821" s="144" t="s">
        <v>56</v>
      </c>
      <c r="T821" s="151">
        <f t="shared" si="211"/>
        <v>0</v>
      </c>
      <c r="U821" s="27" t="str">
        <f t="shared" si="210"/>
        <v>SUBDIRECCION DE GESTION CONTRACTUAL</v>
      </c>
      <c r="V821" s="151" t="str">
        <f t="shared" si="215"/>
        <v>CO-DC</v>
      </c>
      <c r="W821" s="151" t="str">
        <f t="shared" si="216"/>
        <v>Distrito Capital de Bogotá</v>
      </c>
      <c r="X821" s="131" t="s">
        <v>829</v>
      </c>
      <c r="Y821" s="104">
        <v>2427400</v>
      </c>
      <c r="Z821" s="133" t="s">
        <v>830</v>
      </c>
    </row>
    <row r="822" spans="1:26" s="5" customFormat="1" ht="12.75" hidden="1" customHeight="1" x14ac:dyDescent="0.2">
      <c r="A822" s="171" t="s">
        <v>824</v>
      </c>
      <c r="B822" s="104">
        <v>141</v>
      </c>
      <c r="C822" s="134" t="s">
        <v>947</v>
      </c>
      <c r="D822" s="131" t="s">
        <v>948</v>
      </c>
      <c r="E822" s="132"/>
      <c r="F822" s="132">
        <v>9341170735.3299999</v>
      </c>
      <c r="G822" s="132"/>
      <c r="H822" s="131" t="s">
        <v>976</v>
      </c>
      <c r="I822" s="134" t="s">
        <v>977</v>
      </c>
      <c r="J822" s="104">
        <v>6</v>
      </c>
      <c r="K822" s="104">
        <v>6</v>
      </c>
      <c r="L822" s="104">
        <v>6</v>
      </c>
      <c r="M822" s="91">
        <v>6</v>
      </c>
      <c r="N822" s="98" t="s">
        <v>64</v>
      </c>
      <c r="O822" s="99" t="s">
        <v>65</v>
      </c>
      <c r="P822" s="151">
        <v>1</v>
      </c>
      <c r="Q822" s="101">
        <f t="shared" si="212"/>
        <v>9341170735.3299999</v>
      </c>
      <c r="R822" s="101">
        <f t="shared" si="213"/>
        <v>9341170735.3299999</v>
      </c>
      <c r="S822" s="144" t="s">
        <v>56</v>
      </c>
      <c r="T822" s="151">
        <v>0</v>
      </c>
      <c r="U822" s="27" t="s">
        <v>280</v>
      </c>
      <c r="V822" s="151" t="s">
        <v>207</v>
      </c>
      <c r="W822" s="151" t="s">
        <v>208</v>
      </c>
      <c r="X822" s="131" t="s">
        <v>829</v>
      </c>
      <c r="Y822" s="104">
        <v>2427400</v>
      </c>
      <c r="Z822" s="133" t="s">
        <v>830</v>
      </c>
    </row>
    <row r="823" spans="1:26" s="5" customFormat="1" ht="12.75" hidden="1" customHeight="1" x14ac:dyDescent="0.2">
      <c r="A823" s="171" t="s">
        <v>824</v>
      </c>
      <c r="B823" s="104">
        <v>142</v>
      </c>
      <c r="C823" s="134" t="s">
        <v>825</v>
      </c>
      <c r="D823" s="131" t="s">
        <v>826</v>
      </c>
      <c r="E823" s="132"/>
      <c r="F823" s="132">
        <f>150058805264-150058805264</f>
        <v>0</v>
      </c>
      <c r="G823" s="132">
        <f>37514701316-37514701316</f>
        <v>0</v>
      </c>
      <c r="H823" s="131" t="s">
        <v>978</v>
      </c>
      <c r="I823" s="134" t="s">
        <v>979</v>
      </c>
      <c r="J823" s="104">
        <v>6</v>
      </c>
      <c r="K823" s="104">
        <v>6</v>
      </c>
      <c r="L823" s="104">
        <v>18</v>
      </c>
      <c r="M823" s="91">
        <v>18</v>
      </c>
      <c r="N823" s="98" t="s">
        <v>64</v>
      </c>
      <c r="O823" s="99" t="s">
        <v>65</v>
      </c>
      <c r="P823" s="151">
        <v>1</v>
      </c>
      <c r="Q823" s="101">
        <f t="shared" si="212"/>
        <v>0</v>
      </c>
      <c r="R823" s="101">
        <f t="shared" si="213"/>
        <v>0</v>
      </c>
      <c r="S823" s="144">
        <v>1</v>
      </c>
      <c r="T823" s="151">
        <v>2</v>
      </c>
      <c r="U823" s="27" t="s">
        <v>280</v>
      </c>
      <c r="V823" s="151" t="s">
        <v>207</v>
      </c>
      <c r="W823" s="151" t="s">
        <v>208</v>
      </c>
      <c r="X823" s="131" t="s">
        <v>829</v>
      </c>
      <c r="Y823" s="104">
        <v>2427400</v>
      </c>
      <c r="Z823" s="133" t="s">
        <v>830</v>
      </c>
    </row>
    <row r="824" spans="1:26" s="5" customFormat="1" ht="12.75" hidden="1" customHeight="1" x14ac:dyDescent="0.2">
      <c r="A824" s="171" t="s">
        <v>824</v>
      </c>
      <c r="B824" s="104">
        <v>143</v>
      </c>
      <c r="C824" s="134" t="s">
        <v>825</v>
      </c>
      <c r="D824" s="131" t="s">
        <v>826</v>
      </c>
      <c r="E824" s="132"/>
      <c r="F824" s="132">
        <f>12390000000-12390000000</f>
        <v>0</v>
      </c>
      <c r="G824" s="132">
        <f>5310000000-5310000000</f>
        <v>0</v>
      </c>
      <c r="H824" s="131">
        <v>46171600</v>
      </c>
      <c r="I824" s="134" t="s">
        <v>980</v>
      </c>
      <c r="J824" s="104">
        <v>6</v>
      </c>
      <c r="K824" s="104">
        <v>6</v>
      </c>
      <c r="L824" s="104">
        <v>7</v>
      </c>
      <c r="M824" s="91">
        <v>7</v>
      </c>
      <c r="N824" s="98" t="s">
        <v>64</v>
      </c>
      <c r="O824" s="99" t="s">
        <v>65</v>
      </c>
      <c r="P824" s="151">
        <v>1</v>
      </c>
      <c r="Q824" s="101">
        <f t="shared" si="212"/>
        <v>0</v>
      </c>
      <c r="R824" s="101">
        <f t="shared" si="213"/>
        <v>0</v>
      </c>
      <c r="S824" s="144">
        <v>1</v>
      </c>
      <c r="T824" s="151">
        <v>2</v>
      </c>
      <c r="U824" s="27" t="s">
        <v>280</v>
      </c>
      <c r="V824" s="151" t="s">
        <v>207</v>
      </c>
      <c r="W824" s="151" t="s">
        <v>208</v>
      </c>
      <c r="X824" s="131" t="s">
        <v>829</v>
      </c>
      <c r="Y824" s="104">
        <v>2427400</v>
      </c>
      <c r="Z824" s="133" t="s">
        <v>830</v>
      </c>
    </row>
    <row r="825" spans="1:26" s="5" customFormat="1" ht="12.75" hidden="1" customHeight="1" x14ac:dyDescent="0.2">
      <c r="A825" s="171" t="s">
        <v>824</v>
      </c>
      <c r="B825" s="104">
        <v>144</v>
      </c>
      <c r="C825" s="134" t="s">
        <v>825</v>
      </c>
      <c r="D825" s="131" t="s">
        <v>826</v>
      </c>
      <c r="E825" s="132"/>
      <c r="F825" s="132">
        <v>2226601576.5</v>
      </c>
      <c r="G825" s="132">
        <v>954257818.5</v>
      </c>
      <c r="H825" s="131">
        <v>95122300</v>
      </c>
      <c r="I825" s="134" t="s">
        <v>981</v>
      </c>
      <c r="J825" s="104">
        <v>6</v>
      </c>
      <c r="K825" s="104">
        <v>6</v>
      </c>
      <c r="L825" s="104">
        <v>15</v>
      </c>
      <c r="M825" s="91">
        <v>15</v>
      </c>
      <c r="N825" s="98" t="s">
        <v>64</v>
      </c>
      <c r="O825" s="99" t="s">
        <v>65</v>
      </c>
      <c r="P825" s="151">
        <v>1</v>
      </c>
      <c r="Q825" s="101">
        <f t="shared" si="212"/>
        <v>3180859395</v>
      </c>
      <c r="R825" s="101">
        <f t="shared" si="213"/>
        <v>2226601576.5</v>
      </c>
      <c r="S825" s="144">
        <v>1</v>
      </c>
      <c r="T825" s="151">
        <v>2</v>
      </c>
      <c r="U825" s="27" t="s">
        <v>280</v>
      </c>
      <c r="V825" s="151" t="s">
        <v>207</v>
      </c>
      <c r="W825" s="151" t="s">
        <v>208</v>
      </c>
      <c r="X825" s="131" t="s">
        <v>829</v>
      </c>
      <c r="Y825" s="104">
        <v>2427400</v>
      </c>
      <c r="Z825" s="133" t="s">
        <v>830</v>
      </c>
    </row>
    <row r="826" spans="1:26" s="5" customFormat="1" ht="12.75" hidden="1" customHeight="1" x14ac:dyDescent="0.2">
      <c r="A826" s="171" t="s">
        <v>824</v>
      </c>
      <c r="B826" s="104">
        <v>145</v>
      </c>
      <c r="C826" s="134" t="s">
        <v>825</v>
      </c>
      <c r="D826" s="131" t="s">
        <v>826</v>
      </c>
      <c r="E826" s="132"/>
      <c r="F826" s="132">
        <f>3876684687.4-3876684687.4</f>
        <v>0</v>
      </c>
      <c r="G826" s="132">
        <f>1661436294.6-1661436294.6</f>
        <v>0</v>
      </c>
      <c r="H826" s="131" t="s">
        <v>827</v>
      </c>
      <c r="I826" s="134" t="s">
        <v>982</v>
      </c>
      <c r="J826" s="104">
        <v>6</v>
      </c>
      <c r="K826" s="104">
        <v>6</v>
      </c>
      <c r="L826" s="104">
        <v>17</v>
      </c>
      <c r="M826" s="91">
        <v>17</v>
      </c>
      <c r="N826" s="98" t="s">
        <v>64</v>
      </c>
      <c r="O826" s="99" t="s">
        <v>65</v>
      </c>
      <c r="P826" s="151">
        <v>1</v>
      </c>
      <c r="Q826" s="101">
        <f t="shared" si="212"/>
        <v>0</v>
      </c>
      <c r="R826" s="101">
        <f t="shared" si="213"/>
        <v>0</v>
      </c>
      <c r="S826" s="144">
        <v>1</v>
      </c>
      <c r="T826" s="151">
        <v>2</v>
      </c>
      <c r="U826" s="27" t="s">
        <v>280</v>
      </c>
      <c r="V826" s="151" t="s">
        <v>207</v>
      </c>
      <c r="W826" s="151" t="s">
        <v>208</v>
      </c>
      <c r="X826" s="131" t="s">
        <v>829</v>
      </c>
      <c r="Y826" s="104">
        <v>2427400</v>
      </c>
      <c r="Z826" s="133" t="s">
        <v>830</v>
      </c>
    </row>
    <row r="827" spans="1:26" s="5" customFormat="1" ht="12.75" hidden="1" customHeight="1" x14ac:dyDescent="0.2">
      <c r="A827" s="171" t="s">
        <v>824</v>
      </c>
      <c r="B827" s="104">
        <v>146</v>
      </c>
      <c r="C827" s="134" t="s">
        <v>825</v>
      </c>
      <c r="D827" s="131" t="s">
        <v>826</v>
      </c>
      <c r="E827" s="132"/>
      <c r="F827" s="132">
        <f>4602221190.7-4602221190.7</f>
        <v>0</v>
      </c>
      <c r="G827" s="132">
        <f>1972380510.3-1972380510.3</f>
        <v>0</v>
      </c>
      <c r="H827" s="131" t="s">
        <v>827</v>
      </c>
      <c r="I827" s="134" t="s">
        <v>983</v>
      </c>
      <c r="J827" s="104">
        <v>6</v>
      </c>
      <c r="K827" s="104">
        <v>6</v>
      </c>
      <c r="L827" s="104">
        <v>17</v>
      </c>
      <c r="M827" s="91">
        <v>17</v>
      </c>
      <c r="N827" s="98" t="s">
        <v>64</v>
      </c>
      <c r="O827" s="99" t="s">
        <v>65</v>
      </c>
      <c r="P827" s="151">
        <v>1</v>
      </c>
      <c r="Q827" s="101">
        <f t="shared" si="212"/>
        <v>0</v>
      </c>
      <c r="R827" s="101">
        <f t="shared" si="213"/>
        <v>0</v>
      </c>
      <c r="S827" s="144">
        <v>1</v>
      </c>
      <c r="T827" s="151">
        <v>2</v>
      </c>
      <c r="U827" s="27" t="s">
        <v>280</v>
      </c>
      <c r="V827" s="151" t="s">
        <v>207</v>
      </c>
      <c r="W827" s="151" t="s">
        <v>208</v>
      </c>
      <c r="X827" s="131" t="s">
        <v>829</v>
      </c>
      <c r="Y827" s="104">
        <v>2427400</v>
      </c>
      <c r="Z827" s="133" t="s">
        <v>830</v>
      </c>
    </row>
    <row r="828" spans="1:26" s="5" customFormat="1" ht="12.75" hidden="1" customHeight="1" x14ac:dyDescent="0.2">
      <c r="A828" s="171" t="s">
        <v>824</v>
      </c>
      <c r="B828" s="104">
        <v>147</v>
      </c>
      <c r="C828" s="134" t="s">
        <v>825</v>
      </c>
      <c r="D828" s="131" t="s">
        <v>826</v>
      </c>
      <c r="E828" s="132"/>
      <c r="F828" s="132">
        <v>7705806765.2999992</v>
      </c>
      <c r="G828" s="132">
        <v>3302488613.7000008</v>
      </c>
      <c r="H828" s="131" t="s">
        <v>827</v>
      </c>
      <c r="I828" s="134" t="s">
        <v>984</v>
      </c>
      <c r="J828" s="104">
        <v>6</v>
      </c>
      <c r="K828" s="104">
        <v>6</v>
      </c>
      <c r="L828" s="104">
        <v>17</v>
      </c>
      <c r="M828" s="91">
        <v>17</v>
      </c>
      <c r="N828" s="98" t="s">
        <v>64</v>
      </c>
      <c r="O828" s="99" t="s">
        <v>65</v>
      </c>
      <c r="P828" s="151">
        <v>1</v>
      </c>
      <c r="Q828" s="101">
        <f t="shared" si="212"/>
        <v>11008295379</v>
      </c>
      <c r="R828" s="101">
        <f t="shared" si="213"/>
        <v>7705806765.2999992</v>
      </c>
      <c r="S828" s="144">
        <v>1</v>
      </c>
      <c r="T828" s="151">
        <v>2</v>
      </c>
      <c r="U828" s="27" t="s">
        <v>280</v>
      </c>
      <c r="V828" s="151" t="s">
        <v>207</v>
      </c>
      <c r="W828" s="151" t="s">
        <v>208</v>
      </c>
      <c r="X828" s="131" t="s">
        <v>829</v>
      </c>
      <c r="Y828" s="104">
        <v>2427400</v>
      </c>
      <c r="Z828" s="133" t="s">
        <v>830</v>
      </c>
    </row>
    <row r="829" spans="1:26" s="5" customFormat="1" ht="12.75" hidden="1" customHeight="1" x14ac:dyDescent="0.2">
      <c r="A829" s="171" t="s">
        <v>824</v>
      </c>
      <c r="B829" s="104">
        <v>148</v>
      </c>
      <c r="C829" s="134" t="s">
        <v>825</v>
      </c>
      <c r="D829" s="131" t="s">
        <v>826</v>
      </c>
      <c r="E829" s="132"/>
      <c r="F829" s="132">
        <v>2442214616.0999999</v>
      </c>
      <c r="G829" s="132">
        <v>1046663406.9000001</v>
      </c>
      <c r="H829" s="131" t="s">
        <v>827</v>
      </c>
      <c r="I829" s="134" t="s">
        <v>985</v>
      </c>
      <c r="J829" s="104">
        <v>6</v>
      </c>
      <c r="K829" s="104">
        <v>6</v>
      </c>
      <c r="L829" s="104">
        <v>16</v>
      </c>
      <c r="M829" s="91">
        <v>16</v>
      </c>
      <c r="N829" s="98" t="s">
        <v>64</v>
      </c>
      <c r="O829" s="99" t="s">
        <v>65</v>
      </c>
      <c r="P829" s="151">
        <v>1</v>
      </c>
      <c r="Q829" s="101">
        <f t="shared" si="212"/>
        <v>3488878023</v>
      </c>
      <c r="R829" s="101">
        <f t="shared" si="213"/>
        <v>2442214616.0999999</v>
      </c>
      <c r="S829" s="144">
        <v>1</v>
      </c>
      <c r="T829" s="151">
        <v>2</v>
      </c>
      <c r="U829" s="27" t="s">
        <v>280</v>
      </c>
      <c r="V829" s="151" t="s">
        <v>207</v>
      </c>
      <c r="W829" s="151" t="s">
        <v>208</v>
      </c>
      <c r="X829" s="131" t="s">
        <v>829</v>
      </c>
      <c r="Y829" s="104">
        <v>2427400</v>
      </c>
      <c r="Z829" s="133" t="s">
        <v>830</v>
      </c>
    </row>
    <row r="830" spans="1:26" s="5" customFormat="1" ht="12.75" hidden="1" customHeight="1" x14ac:dyDescent="0.2">
      <c r="A830" s="171" t="s">
        <v>824</v>
      </c>
      <c r="B830" s="104">
        <v>149</v>
      </c>
      <c r="C830" s="134" t="s">
        <v>825</v>
      </c>
      <c r="D830" s="131" t="s">
        <v>826</v>
      </c>
      <c r="E830" s="132"/>
      <c r="F830" s="132">
        <v>14000000000</v>
      </c>
      <c r="G830" s="132">
        <v>6000000000</v>
      </c>
      <c r="H830" s="131" t="s">
        <v>986</v>
      </c>
      <c r="I830" s="134" t="s">
        <v>987</v>
      </c>
      <c r="J830" s="104">
        <v>6</v>
      </c>
      <c r="K830" s="104">
        <v>6</v>
      </c>
      <c r="L830" s="104">
        <v>14</v>
      </c>
      <c r="M830" s="91">
        <v>14</v>
      </c>
      <c r="N830" s="98" t="s">
        <v>64</v>
      </c>
      <c r="O830" s="99" t="s">
        <v>65</v>
      </c>
      <c r="P830" s="151">
        <v>1</v>
      </c>
      <c r="Q830" s="101">
        <f t="shared" si="212"/>
        <v>20000000000</v>
      </c>
      <c r="R830" s="101">
        <f t="shared" si="213"/>
        <v>14000000000</v>
      </c>
      <c r="S830" s="144">
        <v>1</v>
      </c>
      <c r="T830" s="151">
        <v>2</v>
      </c>
      <c r="U830" s="27" t="s">
        <v>280</v>
      </c>
      <c r="V830" s="151" t="s">
        <v>207</v>
      </c>
      <c r="W830" s="151" t="s">
        <v>208</v>
      </c>
      <c r="X830" s="131" t="s">
        <v>829</v>
      </c>
      <c r="Y830" s="104">
        <v>2427400</v>
      </c>
      <c r="Z830" s="133" t="s">
        <v>830</v>
      </c>
    </row>
    <row r="831" spans="1:26" s="5" customFormat="1" ht="12.75" hidden="1" customHeight="1" x14ac:dyDescent="0.2">
      <c r="A831" s="171" t="s">
        <v>824</v>
      </c>
      <c r="B831" s="104">
        <v>150</v>
      </c>
      <c r="C831" s="134" t="s">
        <v>825</v>
      </c>
      <c r="D831" s="131" t="s">
        <v>826</v>
      </c>
      <c r="E831" s="132"/>
      <c r="F831" s="132">
        <v>4532938169</v>
      </c>
      <c r="G831" s="132">
        <v>4532938168</v>
      </c>
      <c r="H831" s="131" t="s">
        <v>827</v>
      </c>
      <c r="I831" s="134" t="s">
        <v>988</v>
      </c>
      <c r="J831" s="104">
        <v>7</v>
      </c>
      <c r="K831" s="104">
        <v>7</v>
      </c>
      <c r="L831" s="104">
        <v>18</v>
      </c>
      <c r="M831" s="91">
        <v>18</v>
      </c>
      <c r="N831" s="98" t="s">
        <v>64</v>
      </c>
      <c r="O831" s="99" t="s">
        <v>65</v>
      </c>
      <c r="P831" s="151">
        <v>1</v>
      </c>
      <c r="Q831" s="101">
        <f t="shared" si="212"/>
        <v>9065876337</v>
      </c>
      <c r="R831" s="101">
        <f t="shared" si="213"/>
        <v>4532938169</v>
      </c>
      <c r="S831" s="144">
        <v>1</v>
      </c>
      <c r="T831" s="151">
        <v>3</v>
      </c>
      <c r="U831" s="27" t="s">
        <v>280</v>
      </c>
      <c r="V831" s="151" t="s">
        <v>207</v>
      </c>
      <c r="W831" s="151" t="s">
        <v>208</v>
      </c>
      <c r="X831" s="131" t="s">
        <v>829</v>
      </c>
      <c r="Y831" s="104">
        <v>2427400</v>
      </c>
      <c r="Z831" s="133" t="s">
        <v>830</v>
      </c>
    </row>
    <row r="832" spans="1:26" s="5" customFormat="1" ht="12.75" hidden="1" customHeight="1" x14ac:dyDescent="0.2">
      <c r="A832" s="171" t="s">
        <v>824</v>
      </c>
      <c r="B832" s="104">
        <v>151</v>
      </c>
      <c r="C832" s="134" t="s">
        <v>825</v>
      </c>
      <c r="D832" s="131" t="s">
        <v>826</v>
      </c>
      <c r="E832" s="132"/>
      <c r="F832" s="132">
        <f>150058805264-150058805264</f>
        <v>0</v>
      </c>
      <c r="G832" s="132">
        <f>45951901316-45951901316</f>
        <v>0</v>
      </c>
      <c r="H832" s="131" t="s">
        <v>978</v>
      </c>
      <c r="I832" s="134" t="s">
        <v>989</v>
      </c>
      <c r="J832" s="104">
        <v>7</v>
      </c>
      <c r="K832" s="104">
        <v>7</v>
      </c>
      <c r="L832" s="104">
        <v>18</v>
      </c>
      <c r="M832" s="91">
        <v>18</v>
      </c>
      <c r="N832" s="98" t="s">
        <v>64</v>
      </c>
      <c r="O832" s="99" t="s">
        <v>65</v>
      </c>
      <c r="P832" s="151">
        <v>1</v>
      </c>
      <c r="Q832" s="101">
        <f t="shared" si="212"/>
        <v>0</v>
      </c>
      <c r="R832" s="101">
        <f t="shared" si="213"/>
        <v>0</v>
      </c>
      <c r="S832" s="144">
        <v>1</v>
      </c>
      <c r="T832" s="151">
        <v>3</v>
      </c>
      <c r="U832" s="27" t="s">
        <v>280</v>
      </c>
      <c r="V832" s="151" t="s">
        <v>207</v>
      </c>
      <c r="W832" s="151" t="s">
        <v>208</v>
      </c>
      <c r="X832" s="131" t="s">
        <v>829</v>
      </c>
      <c r="Y832" s="104">
        <v>2427400</v>
      </c>
      <c r="Z832" s="133" t="s">
        <v>830</v>
      </c>
    </row>
    <row r="833" spans="1:26" s="5" customFormat="1" ht="12.75" hidden="1" customHeight="1" x14ac:dyDescent="0.2">
      <c r="A833" s="171" t="s">
        <v>824</v>
      </c>
      <c r="B833" s="104">
        <v>152</v>
      </c>
      <c r="C833" s="134" t="s">
        <v>825</v>
      </c>
      <c r="D833" s="131" t="s">
        <v>826</v>
      </c>
      <c r="E833" s="132"/>
      <c r="F833" s="132">
        <f>12390000000-12390000000</f>
        <v>0</v>
      </c>
      <c r="G833" s="132">
        <f>6018000000-6018000000</f>
        <v>0</v>
      </c>
      <c r="H833" s="131">
        <v>46171600</v>
      </c>
      <c r="I833" s="134" t="s">
        <v>990</v>
      </c>
      <c r="J833" s="104">
        <v>7</v>
      </c>
      <c r="K833" s="104">
        <v>7</v>
      </c>
      <c r="L833" s="104">
        <v>7</v>
      </c>
      <c r="M833" s="91">
        <v>7</v>
      </c>
      <c r="N833" s="98" t="s">
        <v>64</v>
      </c>
      <c r="O833" s="99" t="s">
        <v>65</v>
      </c>
      <c r="P833" s="151">
        <v>1</v>
      </c>
      <c r="Q833" s="101">
        <f t="shared" si="212"/>
        <v>0</v>
      </c>
      <c r="R833" s="101">
        <f t="shared" si="213"/>
        <v>0</v>
      </c>
      <c r="S833" s="144">
        <v>1</v>
      </c>
      <c r="T833" s="151">
        <v>3</v>
      </c>
      <c r="U833" s="27" t="s">
        <v>280</v>
      </c>
      <c r="V833" s="151" t="s">
        <v>207</v>
      </c>
      <c r="W833" s="151" t="s">
        <v>208</v>
      </c>
      <c r="X833" s="131" t="s">
        <v>829</v>
      </c>
      <c r="Y833" s="104">
        <v>2427400</v>
      </c>
      <c r="Z833" s="133" t="s">
        <v>830</v>
      </c>
    </row>
    <row r="834" spans="1:26" s="5" customFormat="1" ht="12.75" hidden="1" customHeight="1" x14ac:dyDescent="0.2">
      <c r="A834" s="171" t="s">
        <v>824</v>
      </c>
      <c r="B834" s="104">
        <v>153</v>
      </c>
      <c r="C834" s="134" t="s">
        <v>825</v>
      </c>
      <c r="D834" s="131" t="s">
        <v>826</v>
      </c>
      <c r="E834" s="132"/>
      <c r="F834" s="132">
        <v>10205880526</v>
      </c>
      <c r="G834" s="132">
        <v>3155190131.6000004</v>
      </c>
      <c r="H834" s="131" t="s">
        <v>991</v>
      </c>
      <c r="I834" s="134" t="s">
        <v>992</v>
      </c>
      <c r="J834" s="104">
        <v>7</v>
      </c>
      <c r="K834" s="104">
        <v>7</v>
      </c>
      <c r="L834" s="104">
        <v>18</v>
      </c>
      <c r="M834" s="91">
        <v>18</v>
      </c>
      <c r="N834" s="98" t="s">
        <v>64</v>
      </c>
      <c r="O834" s="99" t="s">
        <v>65</v>
      </c>
      <c r="P834" s="151">
        <v>1</v>
      </c>
      <c r="Q834" s="101">
        <f t="shared" si="212"/>
        <v>13361070657.6</v>
      </c>
      <c r="R834" s="101">
        <f t="shared" si="213"/>
        <v>10205880526</v>
      </c>
      <c r="S834" s="144">
        <v>1</v>
      </c>
      <c r="T834" s="151">
        <f t="shared" ref="T834:T864" si="218">IF(ISBLANK(S834),"",IF(VALUE(S834)=0,0,IF(VALUE(S834)=1,3,"")))</f>
        <v>3</v>
      </c>
      <c r="U834" s="27" t="s">
        <v>280</v>
      </c>
      <c r="V834" s="151" t="s">
        <v>207</v>
      </c>
      <c r="W834" s="151" t="s">
        <v>208</v>
      </c>
      <c r="X834" s="131" t="s">
        <v>829</v>
      </c>
      <c r="Y834" s="104">
        <v>2427400</v>
      </c>
      <c r="Z834" s="133" t="s">
        <v>830</v>
      </c>
    </row>
    <row r="835" spans="1:26" s="5" customFormat="1" ht="12.75" hidden="1" customHeight="1" x14ac:dyDescent="0.2">
      <c r="A835" s="171" t="s">
        <v>824</v>
      </c>
      <c r="B835" s="104">
        <v>154</v>
      </c>
      <c r="C835" s="134" t="s">
        <v>825</v>
      </c>
      <c r="D835" s="131" t="s">
        <v>826</v>
      </c>
      <c r="E835" s="132"/>
      <c r="F835" s="132">
        <v>10205880526</v>
      </c>
      <c r="G835" s="132">
        <v>3155190131.6000004</v>
      </c>
      <c r="H835" s="131" t="s">
        <v>991</v>
      </c>
      <c r="I835" s="134" t="s">
        <v>993</v>
      </c>
      <c r="J835" s="104">
        <v>7</v>
      </c>
      <c r="K835" s="104">
        <v>7</v>
      </c>
      <c r="L835" s="104">
        <v>18</v>
      </c>
      <c r="M835" s="91">
        <v>18</v>
      </c>
      <c r="N835" s="98" t="s">
        <v>64</v>
      </c>
      <c r="O835" s="99" t="s">
        <v>65</v>
      </c>
      <c r="P835" s="151">
        <v>1</v>
      </c>
      <c r="Q835" s="101">
        <f t="shared" si="212"/>
        <v>13361070657.6</v>
      </c>
      <c r="R835" s="101">
        <f t="shared" si="213"/>
        <v>10205880526</v>
      </c>
      <c r="S835" s="144">
        <v>1</v>
      </c>
      <c r="T835" s="151">
        <f t="shared" si="218"/>
        <v>3</v>
      </c>
      <c r="U835" s="27" t="s">
        <v>280</v>
      </c>
      <c r="V835" s="151" t="s">
        <v>207</v>
      </c>
      <c r="W835" s="151" t="s">
        <v>208</v>
      </c>
      <c r="X835" s="131" t="s">
        <v>829</v>
      </c>
      <c r="Y835" s="104">
        <v>2427400</v>
      </c>
      <c r="Z835" s="133" t="s">
        <v>830</v>
      </c>
    </row>
    <row r="836" spans="1:26" s="5" customFormat="1" ht="12.75" hidden="1" customHeight="1" x14ac:dyDescent="0.2">
      <c r="A836" s="171" t="s">
        <v>824</v>
      </c>
      <c r="B836" s="104">
        <v>155</v>
      </c>
      <c r="C836" s="134" t="s">
        <v>825</v>
      </c>
      <c r="D836" s="131" t="s">
        <v>826</v>
      </c>
      <c r="E836" s="132"/>
      <c r="F836" s="132">
        <v>10205880526</v>
      </c>
      <c r="G836" s="132">
        <v>3155190131.6000004</v>
      </c>
      <c r="H836" s="131" t="s">
        <v>991</v>
      </c>
      <c r="I836" s="134" t="s">
        <v>994</v>
      </c>
      <c r="J836" s="104">
        <v>7</v>
      </c>
      <c r="K836" s="104">
        <v>7</v>
      </c>
      <c r="L836" s="104">
        <v>18</v>
      </c>
      <c r="M836" s="91">
        <v>18</v>
      </c>
      <c r="N836" s="98" t="s">
        <v>64</v>
      </c>
      <c r="O836" s="99" t="s">
        <v>65</v>
      </c>
      <c r="P836" s="151">
        <v>1</v>
      </c>
      <c r="Q836" s="101">
        <f t="shared" ref="Q836:Q864" si="219">+E836+F836+G836</f>
        <v>13361070657.6</v>
      </c>
      <c r="R836" s="101">
        <f t="shared" ref="R836:R864" si="220">+F836</f>
        <v>10205880526</v>
      </c>
      <c r="S836" s="144">
        <v>1</v>
      </c>
      <c r="T836" s="151">
        <f t="shared" si="218"/>
        <v>3</v>
      </c>
      <c r="U836" s="27" t="s">
        <v>280</v>
      </c>
      <c r="V836" s="151" t="s">
        <v>207</v>
      </c>
      <c r="W836" s="151" t="s">
        <v>208</v>
      </c>
      <c r="X836" s="131" t="s">
        <v>829</v>
      </c>
      <c r="Y836" s="104">
        <v>2427400</v>
      </c>
      <c r="Z836" s="133" t="s">
        <v>830</v>
      </c>
    </row>
    <row r="837" spans="1:26" s="5" customFormat="1" ht="12.75" hidden="1" customHeight="1" x14ac:dyDescent="0.2">
      <c r="A837" s="171" t="s">
        <v>824</v>
      </c>
      <c r="B837" s="104">
        <v>156</v>
      </c>
      <c r="C837" s="134" t="s">
        <v>825</v>
      </c>
      <c r="D837" s="131" t="s">
        <v>826</v>
      </c>
      <c r="E837" s="132"/>
      <c r="F837" s="132">
        <v>10205880526</v>
      </c>
      <c r="G837" s="132">
        <v>3155190131.6000004</v>
      </c>
      <c r="H837" s="131" t="s">
        <v>991</v>
      </c>
      <c r="I837" s="134" t="s">
        <v>995</v>
      </c>
      <c r="J837" s="104">
        <v>7</v>
      </c>
      <c r="K837" s="104">
        <v>7</v>
      </c>
      <c r="L837" s="104">
        <v>18</v>
      </c>
      <c r="M837" s="91">
        <v>18</v>
      </c>
      <c r="N837" s="98" t="s">
        <v>64</v>
      </c>
      <c r="O837" s="99" t="s">
        <v>65</v>
      </c>
      <c r="P837" s="151">
        <v>1</v>
      </c>
      <c r="Q837" s="101">
        <f t="shared" si="219"/>
        <v>13361070657.6</v>
      </c>
      <c r="R837" s="101">
        <f t="shared" si="220"/>
        <v>10205880526</v>
      </c>
      <c r="S837" s="144">
        <v>1</v>
      </c>
      <c r="T837" s="151">
        <f t="shared" si="218"/>
        <v>3</v>
      </c>
      <c r="U837" s="27" t="s">
        <v>280</v>
      </c>
      <c r="V837" s="151" t="s">
        <v>207</v>
      </c>
      <c r="W837" s="151" t="s">
        <v>208</v>
      </c>
      <c r="X837" s="131" t="s">
        <v>829</v>
      </c>
      <c r="Y837" s="104">
        <v>2427400</v>
      </c>
      <c r="Z837" s="133" t="s">
        <v>830</v>
      </c>
    </row>
    <row r="838" spans="1:26" s="5" customFormat="1" ht="12.75" hidden="1" customHeight="1" x14ac:dyDescent="0.2">
      <c r="A838" s="171" t="s">
        <v>824</v>
      </c>
      <c r="B838" s="104">
        <v>157</v>
      </c>
      <c r="C838" s="134" t="s">
        <v>825</v>
      </c>
      <c r="D838" s="131" t="s">
        <v>826</v>
      </c>
      <c r="E838" s="132"/>
      <c r="F838" s="132">
        <v>10205880526</v>
      </c>
      <c r="G838" s="132">
        <v>3155190131.6000004</v>
      </c>
      <c r="H838" s="131" t="s">
        <v>991</v>
      </c>
      <c r="I838" s="134" t="s">
        <v>996</v>
      </c>
      <c r="J838" s="104">
        <v>7</v>
      </c>
      <c r="K838" s="104">
        <v>7</v>
      </c>
      <c r="L838" s="104">
        <v>18</v>
      </c>
      <c r="M838" s="91">
        <v>18</v>
      </c>
      <c r="N838" s="98" t="s">
        <v>64</v>
      </c>
      <c r="O838" s="99" t="s">
        <v>65</v>
      </c>
      <c r="P838" s="151">
        <v>1</v>
      </c>
      <c r="Q838" s="101">
        <f t="shared" si="219"/>
        <v>13361070657.6</v>
      </c>
      <c r="R838" s="101">
        <f t="shared" si="220"/>
        <v>10205880526</v>
      </c>
      <c r="S838" s="144">
        <v>1</v>
      </c>
      <c r="T838" s="151">
        <f t="shared" si="218"/>
        <v>3</v>
      </c>
      <c r="U838" s="27" t="s">
        <v>280</v>
      </c>
      <c r="V838" s="151" t="s">
        <v>207</v>
      </c>
      <c r="W838" s="151" t="s">
        <v>208</v>
      </c>
      <c r="X838" s="131" t="s">
        <v>829</v>
      </c>
      <c r="Y838" s="104">
        <v>2427400</v>
      </c>
      <c r="Z838" s="133" t="s">
        <v>830</v>
      </c>
    </row>
    <row r="839" spans="1:26" s="5" customFormat="1" ht="12.75" hidden="1" customHeight="1" x14ac:dyDescent="0.2">
      <c r="A839" s="171" t="s">
        <v>824</v>
      </c>
      <c r="B839" s="104">
        <v>158</v>
      </c>
      <c r="C839" s="134" t="s">
        <v>825</v>
      </c>
      <c r="D839" s="131" t="s">
        <v>826</v>
      </c>
      <c r="E839" s="132"/>
      <c r="F839" s="132">
        <v>10205880526</v>
      </c>
      <c r="G839" s="132">
        <v>3155190131.6000004</v>
      </c>
      <c r="H839" s="131" t="s">
        <v>991</v>
      </c>
      <c r="I839" s="134" t="s">
        <v>997</v>
      </c>
      <c r="J839" s="104">
        <v>7</v>
      </c>
      <c r="K839" s="104">
        <v>7</v>
      </c>
      <c r="L839" s="104">
        <v>18</v>
      </c>
      <c r="M839" s="91">
        <v>18</v>
      </c>
      <c r="N839" s="98" t="s">
        <v>64</v>
      </c>
      <c r="O839" s="99" t="s">
        <v>65</v>
      </c>
      <c r="P839" s="151">
        <v>1</v>
      </c>
      <c r="Q839" s="101">
        <f t="shared" si="219"/>
        <v>13361070657.6</v>
      </c>
      <c r="R839" s="101">
        <f t="shared" si="220"/>
        <v>10205880526</v>
      </c>
      <c r="S839" s="144">
        <v>1</v>
      </c>
      <c r="T839" s="151">
        <f t="shared" si="218"/>
        <v>3</v>
      </c>
      <c r="U839" s="27" t="s">
        <v>280</v>
      </c>
      <c r="V839" s="151" t="s">
        <v>207</v>
      </c>
      <c r="W839" s="151" t="s">
        <v>208</v>
      </c>
      <c r="X839" s="131" t="s">
        <v>829</v>
      </c>
      <c r="Y839" s="104">
        <v>2427400</v>
      </c>
      <c r="Z839" s="133" t="s">
        <v>830</v>
      </c>
    </row>
    <row r="840" spans="1:26" s="5" customFormat="1" ht="12.75" hidden="1" customHeight="1" x14ac:dyDescent="0.2">
      <c r="A840" s="171" t="s">
        <v>824</v>
      </c>
      <c r="B840" s="104">
        <v>159</v>
      </c>
      <c r="C840" s="134" t="s">
        <v>825</v>
      </c>
      <c r="D840" s="131" t="s">
        <v>826</v>
      </c>
      <c r="E840" s="132"/>
      <c r="F840" s="132">
        <f>10205880526-10205880526</f>
        <v>0</v>
      </c>
      <c r="G840" s="132">
        <f>3155190131.6-3155190131.6</f>
        <v>0</v>
      </c>
      <c r="H840" s="131" t="s">
        <v>991</v>
      </c>
      <c r="I840" s="134" t="s">
        <v>998</v>
      </c>
      <c r="J840" s="104">
        <v>7</v>
      </c>
      <c r="K840" s="104">
        <v>7</v>
      </c>
      <c r="L840" s="104">
        <v>18</v>
      </c>
      <c r="M840" s="91">
        <v>18</v>
      </c>
      <c r="N840" s="98" t="s">
        <v>64</v>
      </c>
      <c r="O840" s="99" t="s">
        <v>65</v>
      </c>
      <c r="P840" s="151">
        <v>1</v>
      </c>
      <c r="Q840" s="101">
        <f t="shared" si="219"/>
        <v>0</v>
      </c>
      <c r="R840" s="101">
        <f t="shared" si="220"/>
        <v>0</v>
      </c>
      <c r="S840" s="144">
        <v>1</v>
      </c>
      <c r="T840" s="151">
        <f t="shared" si="218"/>
        <v>3</v>
      </c>
      <c r="U840" s="27" t="s">
        <v>280</v>
      </c>
      <c r="V840" s="151" t="s">
        <v>207</v>
      </c>
      <c r="W840" s="151" t="s">
        <v>208</v>
      </c>
      <c r="X840" s="131" t="s">
        <v>829</v>
      </c>
      <c r="Y840" s="104">
        <v>2427400</v>
      </c>
      <c r="Z840" s="133" t="s">
        <v>830</v>
      </c>
    </row>
    <row r="841" spans="1:26" s="5" customFormat="1" ht="12.75" hidden="1" customHeight="1" x14ac:dyDescent="0.2">
      <c r="A841" s="171" t="s">
        <v>824</v>
      </c>
      <c r="B841" s="104">
        <v>160</v>
      </c>
      <c r="C841" s="134" t="s">
        <v>825</v>
      </c>
      <c r="D841" s="131" t="s">
        <v>826</v>
      </c>
      <c r="E841" s="132"/>
      <c r="F841" s="132">
        <v>10205880526</v>
      </c>
      <c r="G841" s="132">
        <v>3155190131.6000004</v>
      </c>
      <c r="H841" s="131" t="s">
        <v>991</v>
      </c>
      <c r="I841" s="134" t="s">
        <v>999</v>
      </c>
      <c r="J841" s="104">
        <v>7</v>
      </c>
      <c r="K841" s="104">
        <v>7</v>
      </c>
      <c r="L841" s="104">
        <v>18</v>
      </c>
      <c r="M841" s="91">
        <v>18</v>
      </c>
      <c r="N841" s="98" t="s">
        <v>64</v>
      </c>
      <c r="O841" s="99" t="s">
        <v>65</v>
      </c>
      <c r="P841" s="151">
        <v>1</v>
      </c>
      <c r="Q841" s="101">
        <f t="shared" si="219"/>
        <v>13361070657.6</v>
      </c>
      <c r="R841" s="101">
        <f t="shared" si="220"/>
        <v>10205880526</v>
      </c>
      <c r="S841" s="144">
        <v>1</v>
      </c>
      <c r="T841" s="151">
        <f t="shared" si="218"/>
        <v>3</v>
      </c>
      <c r="U841" s="27" t="s">
        <v>280</v>
      </c>
      <c r="V841" s="151" t="s">
        <v>207</v>
      </c>
      <c r="W841" s="151" t="s">
        <v>208</v>
      </c>
      <c r="X841" s="131" t="s">
        <v>829</v>
      </c>
      <c r="Y841" s="104">
        <v>2427400</v>
      </c>
      <c r="Z841" s="133" t="s">
        <v>830</v>
      </c>
    </row>
    <row r="842" spans="1:26" s="5" customFormat="1" ht="12.75" hidden="1" customHeight="1" x14ac:dyDescent="0.2">
      <c r="A842" s="171" t="s">
        <v>824</v>
      </c>
      <c r="B842" s="104">
        <v>161</v>
      </c>
      <c r="C842" s="134" t="s">
        <v>825</v>
      </c>
      <c r="D842" s="131" t="s">
        <v>826</v>
      </c>
      <c r="E842" s="132"/>
      <c r="F842" s="132">
        <f>10205880526-10205880526</f>
        <v>0</v>
      </c>
      <c r="G842" s="132">
        <f>3155190131.6-3155190131.6</f>
        <v>0</v>
      </c>
      <c r="H842" s="131" t="s">
        <v>991</v>
      </c>
      <c r="I842" s="134" t="s">
        <v>1000</v>
      </c>
      <c r="J842" s="104">
        <v>7</v>
      </c>
      <c r="K842" s="104">
        <v>7</v>
      </c>
      <c r="L842" s="104">
        <v>18</v>
      </c>
      <c r="M842" s="91">
        <v>18</v>
      </c>
      <c r="N842" s="98" t="s">
        <v>64</v>
      </c>
      <c r="O842" s="99" t="s">
        <v>65</v>
      </c>
      <c r="P842" s="151">
        <v>1</v>
      </c>
      <c r="Q842" s="101">
        <f t="shared" si="219"/>
        <v>0</v>
      </c>
      <c r="R842" s="101">
        <f t="shared" si="220"/>
        <v>0</v>
      </c>
      <c r="S842" s="144">
        <v>1</v>
      </c>
      <c r="T842" s="151">
        <f t="shared" si="218"/>
        <v>3</v>
      </c>
      <c r="U842" s="27" t="s">
        <v>280</v>
      </c>
      <c r="V842" s="151" t="s">
        <v>207</v>
      </c>
      <c r="W842" s="151" t="s">
        <v>208</v>
      </c>
      <c r="X842" s="131" t="s">
        <v>829</v>
      </c>
      <c r="Y842" s="104">
        <v>2427400</v>
      </c>
      <c r="Z842" s="133" t="s">
        <v>830</v>
      </c>
    </row>
    <row r="843" spans="1:26" s="5" customFormat="1" ht="12.75" hidden="1" customHeight="1" x14ac:dyDescent="0.2">
      <c r="A843" s="171" t="s">
        <v>824</v>
      </c>
      <c r="B843" s="104">
        <v>162</v>
      </c>
      <c r="C843" s="134" t="s">
        <v>825</v>
      </c>
      <c r="D843" s="131" t="s">
        <v>826</v>
      </c>
      <c r="E843" s="132"/>
      <c r="F843" s="132">
        <f>10205880526-10205880526</f>
        <v>0</v>
      </c>
      <c r="G843" s="132">
        <f>3155190131.6-3155190131.6</f>
        <v>0</v>
      </c>
      <c r="H843" s="131" t="s">
        <v>991</v>
      </c>
      <c r="I843" s="134" t="s">
        <v>1001</v>
      </c>
      <c r="J843" s="104">
        <v>7</v>
      </c>
      <c r="K843" s="104">
        <v>7</v>
      </c>
      <c r="L843" s="104">
        <v>18</v>
      </c>
      <c r="M843" s="91">
        <v>18</v>
      </c>
      <c r="N843" s="98" t="s">
        <v>64</v>
      </c>
      <c r="O843" s="99" t="s">
        <v>65</v>
      </c>
      <c r="P843" s="151">
        <v>1</v>
      </c>
      <c r="Q843" s="101">
        <f t="shared" si="219"/>
        <v>0</v>
      </c>
      <c r="R843" s="101">
        <f t="shared" si="220"/>
        <v>0</v>
      </c>
      <c r="S843" s="144">
        <v>1</v>
      </c>
      <c r="T843" s="151">
        <f t="shared" si="218"/>
        <v>3</v>
      </c>
      <c r="U843" s="27" t="s">
        <v>280</v>
      </c>
      <c r="V843" s="151" t="s">
        <v>207</v>
      </c>
      <c r="W843" s="151" t="s">
        <v>208</v>
      </c>
      <c r="X843" s="131" t="s">
        <v>829</v>
      </c>
      <c r="Y843" s="104">
        <v>2427400</v>
      </c>
      <c r="Z843" s="133" t="s">
        <v>830</v>
      </c>
    </row>
    <row r="844" spans="1:26" s="5" customFormat="1" ht="12.75" hidden="1" customHeight="1" x14ac:dyDescent="0.2">
      <c r="A844" s="171" t="s">
        <v>824</v>
      </c>
      <c r="B844" s="104">
        <v>163</v>
      </c>
      <c r="C844" s="134" t="s">
        <v>825</v>
      </c>
      <c r="D844" s="131" t="s">
        <v>826</v>
      </c>
      <c r="E844" s="132"/>
      <c r="F844" s="132">
        <f>48000000000-48000000000</f>
        <v>0</v>
      </c>
      <c r="G844" s="132">
        <f>14400000000-14400000000</f>
        <v>0</v>
      </c>
      <c r="H844" s="131" t="s">
        <v>991</v>
      </c>
      <c r="I844" s="134" t="s">
        <v>1002</v>
      </c>
      <c r="J844" s="104">
        <v>7</v>
      </c>
      <c r="K844" s="104">
        <v>7</v>
      </c>
      <c r="L844" s="104">
        <v>18</v>
      </c>
      <c r="M844" s="91">
        <v>18</v>
      </c>
      <c r="N844" s="98" t="s">
        <v>64</v>
      </c>
      <c r="O844" s="99" t="s">
        <v>65</v>
      </c>
      <c r="P844" s="151">
        <v>1</v>
      </c>
      <c r="Q844" s="101">
        <f t="shared" si="219"/>
        <v>0</v>
      </c>
      <c r="R844" s="101">
        <f t="shared" si="220"/>
        <v>0</v>
      </c>
      <c r="S844" s="144">
        <v>1</v>
      </c>
      <c r="T844" s="151">
        <f t="shared" si="218"/>
        <v>3</v>
      </c>
      <c r="U844" s="27" t="s">
        <v>280</v>
      </c>
      <c r="V844" s="151" t="s">
        <v>207</v>
      </c>
      <c r="W844" s="151" t="s">
        <v>208</v>
      </c>
      <c r="X844" s="131" t="s">
        <v>829</v>
      </c>
      <c r="Y844" s="104">
        <v>2427400</v>
      </c>
      <c r="Z844" s="133" t="s">
        <v>830</v>
      </c>
    </row>
    <row r="845" spans="1:26" s="5" customFormat="1" ht="12.75" hidden="1" customHeight="1" x14ac:dyDescent="0.2">
      <c r="A845" s="171" t="s">
        <v>824</v>
      </c>
      <c r="B845" s="104">
        <v>164</v>
      </c>
      <c r="C845" s="134" t="s">
        <v>825</v>
      </c>
      <c r="D845" s="131" t="s">
        <v>826</v>
      </c>
      <c r="E845" s="132"/>
      <c r="F845" s="132">
        <f>12390000000-12390000000</f>
        <v>0</v>
      </c>
      <c r="G845" s="132">
        <f>6018000000-6018000000</f>
        <v>0</v>
      </c>
      <c r="H845" s="131">
        <v>46171600</v>
      </c>
      <c r="I845" s="134" t="s">
        <v>1003</v>
      </c>
      <c r="J845" s="104">
        <v>7</v>
      </c>
      <c r="K845" s="104">
        <v>7</v>
      </c>
      <c r="L845" s="104">
        <v>7</v>
      </c>
      <c r="M845" s="91">
        <v>7</v>
      </c>
      <c r="N845" s="98" t="s">
        <v>64</v>
      </c>
      <c r="O845" s="99" t="s">
        <v>65</v>
      </c>
      <c r="P845" s="151">
        <v>1</v>
      </c>
      <c r="Q845" s="101">
        <f t="shared" si="219"/>
        <v>0</v>
      </c>
      <c r="R845" s="101">
        <f t="shared" si="220"/>
        <v>0</v>
      </c>
      <c r="S845" s="144">
        <v>1</v>
      </c>
      <c r="T845" s="151">
        <f t="shared" si="218"/>
        <v>3</v>
      </c>
      <c r="U845" s="27" t="s">
        <v>280</v>
      </c>
      <c r="V845" s="151" t="s">
        <v>207</v>
      </c>
      <c r="W845" s="151" t="s">
        <v>208</v>
      </c>
      <c r="X845" s="131" t="s">
        <v>829</v>
      </c>
      <c r="Y845" s="104">
        <v>2427400</v>
      </c>
      <c r="Z845" s="133" t="s">
        <v>830</v>
      </c>
    </row>
    <row r="846" spans="1:26" s="5" customFormat="1" ht="12.75" hidden="1" customHeight="1" x14ac:dyDescent="0.2">
      <c r="A846" s="171" t="s">
        <v>824</v>
      </c>
      <c r="B846" s="104">
        <v>165</v>
      </c>
      <c r="C846" s="134" t="s">
        <v>1004</v>
      </c>
      <c r="D846" s="131" t="s">
        <v>826</v>
      </c>
      <c r="E846" s="132"/>
      <c r="F846" s="132">
        <v>12390000000</v>
      </c>
      <c r="G846" s="132">
        <v>6018000000</v>
      </c>
      <c r="H846" s="131" t="s">
        <v>1005</v>
      </c>
      <c r="I846" s="134" t="s">
        <v>1006</v>
      </c>
      <c r="J846" s="104">
        <v>10</v>
      </c>
      <c r="K846" s="104">
        <v>10</v>
      </c>
      <c r="L846" s="104">
        <v>7</v>
      </c>
      <c r="M846" s="91">
        <v>7</v>
      </c>
      <c r="N846" s="98" t="s">
        <v>64</v>
      </c>
      <c r="O846" s="99" t="s">
        <v>65</v>
      </c>
      <c r="P846" s="151">
        <v>1</v>
      </c>
      <c r="Q846" s="101">
        <v>18408000000</v>
      </c>
      <c r="R846" s="101">
        <v>12390000000</v>
      </c>
      <c r="S846" s="144">
        <v>1</v>
      </c>
      <c r="T846" s="151">
        <v>3</v>
      </c>
      <c r="U846" s="27" t="s">
        <v>280</v>
      </c>
      <c r="V846" s="151" t="s">
        <v>207</v>
      </c>
      <c r="W846" s="151" t="s">
        <v>208</v>
      </c>
      <c r="X846" s="131" t="s">
        <v>1007</v>
      </c>
      <c r="Y846" s="104">
        <v>2427400</v>
      </c>
      <c r="Z846" s="133" t="s">
        <v>1008</v>
      </c>
    </row>
    <row r="847" spans="1:26" s="5" customFormat="1" ht="12.75" hidden="1" customHeight="1" x14ac:dyDescent="0.2">
      <c r="A847" s="171" t="s">
        <v>824</v>
      </c>
      <c r="B847" s="104">
        <v>166</v>
      </c>
      <c r="C847" s="134" t="s">
        <v>1004</v>
      </c>
      <c r="D847" s="131" t="s">
        <v>826</v>
      </c>
      <c r="E847" s="132"/>
      <c r="F847" s="132">
        <v>11278054199</v>
      </c>
      <c r="G847" s="132">
        <v>2645469503</v>
      </c>
      <c r="H847" s="131">
        <v>80101604</v>
      </c>
      <c r="I847" s="134" t="s">
        <v>1009</v>
      </c>
      <c r="J847" s="104">
        <v>10</v>
      </c>
      <c r="K847" s="104">
        <v>10</v>
      </c>
      <c r="L847" s="104">
        <v>12</v>
      </c>
      <c r="M847" s="91">
        <v>1</v>
      </c>
      <c r="N847" s="98" t="s">
        <v>54</v>
      </c>
      <c r="O847" s="99" t="s">
        <v>55</v>
      </c>
      <c r="P847" s="151">
        <v>1</v>
      </c>
      <c r="Q847" s="101">
        <f t="shared" ref="Q847:Q853" si="221">+E847+F847+G847</f>
        <v>13923523702</v>
      </c>
      <c r="R847" s="101">
        <f t="shared" ref="R847:R853" si="222">+F847</f>
        <v>11278054199</v>
      </c>
      <c r="S847" s="144">
        <v>1</v>
      </c>
      <c r="T847" s="151">
        <v>3</v>
      </c>
      <c r="U847" s="27" t="s">
        <v>280</v>
      </c>
      <c r="V847" s="151" t="s">
        <v>207</v>
      </c>
      <c r="W847" s="151" t="s">
        <v>208</v>
      </c>
      <c r="X847" s="131" t="s">
        <v>1007</v>
      </c>
      <c r="Y847" s="104">
        <v>2427400</v>
      </c>
      <c r="Z847" s="133" t="s">
        <v>1008</v>
      </c>
    </row>
    <row r="848" spans="1:26" s="5" customFormat="1" ht="12.75" hidden="1" customHeight="1" x14ac:dyDescent="0.2">
      <c r="A848" s="171" t="s">
        <v>824</v>
      </c>
      <c r="B848" s="104">
        <v>167</v>
      </c>
      <c r="C848" s="134" t="s">
        <v>1004</v>
      </c>
      <c r="D848" s="131" t="s">
        <v>826</v>
      </c>
      <c r="E848" s="132"/>
      <c r="F848" s="132">
        <v>17927416664</v>
      </c>
      <c r="G848" s="132">
        <v>4205196501</v>
      </c>
      <c r="H848" s="131">
        <v>80101604</v>
      </c>
      <c r="I848" s="134" t="s">
        <v>1010</v>
      </c>
      <c r="J848" s="104">
        <v>10</v>
      </c>
      <c r="K848" s="104">
        <v>10</v>
      </c>
      <c r="L848" s="104">
        <v>12</v>
      </c>
      <c r="M848" s="91">
        <v>1</v>
      </c>
      <c r="N848" s="98" t="s">
        <v>54</v>
      </c>
      <c r="O848" s="99" t="s">
        <v>55</v>
      </c>
      <c r="P848" s="151">
        <v>1</v>
      </c>
      <c r="Q848" s="101">
        <f t="shared" si="221"/>
        <v>22132613165</v>
      </c>
      <c r="R848" s="101">
        <f t="shared" si="222"/>
        <v>17927416664</v>
      </c>
      <c r="S848" s="144">
        <v>1</v>
      </c>
      <c r="T848" s="151">
        <v>3</v>
      </c>
      <c r="U848" s="27" t="s">
        <v>280</v>
      </c>
      <c r="V848" s="151" t="s">
        <v>207</v>
      </c>
      <c r="W848" s="151" t="s">
        <v>208</v>
      </c>
      <c r="X848" s="131" t="s">
        <v>1007</v>
      </c>
      <c r="Y848" s="104">
        <v>2427400</v>
      </c>
      <c r="Z848" s="133" t="s">
        <v>1008</v>
      </c>
    </row>
    <row r="849" spans="1:26" s="5" customFormat="1" ht="12.75" hidden="1" customHeight="1" x14ac:dyDescent="0.2">
      <c r="A849" s="171" t="s">
        <v>824</v>
      </c>
      <c r="B849" s="104">
        <v>168</v>
      </c>
      <c r="C849" s="134" t="s">
        <v>1004</v>
      </c>
      <c r="D849" s="131" t="s">
        <v>826</v>
      </c>
      <c r="E849" s="132"/>
      <c r="F849" s="132">
        <v>9475942040</v>
      </c>
      <c r="G849" s="132">
        <v>2222751836</v>
      </c>
      <c r="H849" s="131" t="s">
        <v>1011</v>
      </c>
      <c r="I849" s="134" t="s">
        <v>1012</v>
      </c>
      <c r="J849" s="104">
        <v>10</v>
      </c>
      <c r="K849" s="104">
        <v>10</v>
      </c>
      <c r="L849" s="104">
        <v>3</v>
      </c>
      <c r="M849" s="91">
        <v>1</v>
      </c>
      <c r="N849" s="98" t="s">
        <v>54</v>
      </c>
      <c r="O849" s="99" t="s">
        <v>55</v>
      </c>
      <c r="P849" s="151">
        <v>1</v>
      </c>
      <c r="Q849" s="101">
        <f t="shared" si="221"/>
        <v>11698693876</v>
      </c>
      <c r="R849" s="101">
        <f t="shared" si="222"/>
        <v>9475942040</v>
      </c>
      <c r="S849" s="144">
        <v>1</v>
      </c>
      <c r="T849" s="151">
        <v>3</v>
      </c>
      <c r="U849" s="27" t="s">
        <v>280</v>
      </c>
      <c r="V849" s="151" t="s">
        <v>207</v>
      </c>
      <c r="W849" s="151" t="s">
        <v>208</v>
      </c>
      <c r="X849" s="131" t="s">
        <v>1007</v>
      </c>
      <c r="Y849" s="104">
        <v>2427400</v>
      </c>
      <c r="Z849" s="133" t="s">
        <v>1008</v>
      </c>
    </row>
    <row r="850" spans="1:26" s="5" customFormat="1" ht="12.75" hidden="1" customHeight="1" x14ac:dyDescent="0.2">
      <c r="A850" s="171" t="s">
        <v>824</v>
      </c>
      <c r="B850" s="104">
        <v>169</v>
      </c>
      <c r="C850" s="134" t="s">
        <v>1004</v>
      </c>
      <c r="D850" s="131" t="s">
        <v>826</v>
      </c>
      <c r="E850" s="132"/>
      <c r="F850" s="132">
        <f>50067246311-50067246311</f>
        <v>0</v>
      </c>
      <c r="G850" s="132">
        <f>11744168888-11744168888</f>
        <v>0</v>
      </c>
      <c r="H850" s="131">
        <v>80101604</v>
      </c>
      <c r="I850" s="134" t="s">
        <v>1013</v>
      </c>
      <c r="J850" s="104">
        <v>10</v>
      </c>
      <c r="K850" s="104">
        <v>10</v>
      </c>
      <c r="L850" s="104">
        <v>6</v>
      </c>
      <c r="M850" s="91">
        <v>1</v>
      </c>
      <c r="N850" s="98" t="s">
        <v>54</v>
      </c>
      <c r="O850" s="99" t="s">
        <v>55</v>
      </c>
      <c r="P850" s="151">
        <v>1</v>
      </c>
      <c r="Q850" s="101">
        <f t="shared" si="221"/>
        <v>0</v>
      </c>
      <c r="R850" s="101">
        <f t="shared" si="222"/>
        <v>0</v>
      </c>
      <c r="S850" s="144">
        <v>1</v>
      </c>
      <c r="T850" s="151">
        <v>3</v>
      </c>
      <c r="U850" s="27" t="s">
        <v>280</v>
      </c>
      <c r="V850" s="151" t="s">
        <v>207</v>
      </c>
      <c r="W850" s="151" t="s">
        <v>208</v>
      </c>
      <c r="X850" s="131" t="s">
        <v>1007</v>
      </c>
      <c r="Y850" s="104">
        <v>2427400</v>
      </c>
      <c r="Z850" s="133" t="s">
        <v>1008</v>
      </c>
    </row>
    <row r="851" spans="1:26" s="5" customFormat="1" ht="12.75" hidden="1" customHeight="1" x14ac:dyDescent="0.2">
      <c r="A851" s="171" t="s">
        <v>824</v>
      </c>
      <c r="B851" s="104">
        <v>170</v>
      </c>
      <c r="C851" s="134" t="s">
        <v>1004</v>
      </c>
      <c r="D851" s="131" t="s">
        <v>826</v>
      </c>
      <c r="E851" s="132"/>
      <c r="F851" s="132">
        <v>7343263028</v>
      </c>
      <c r="G851" s="132">
        <v>1722493797</v>
      </c>
      <c r="H851" s="131">
        <v>80101604</v>
      </c>
      <c r="I851" s="134" t="s">
        <v>1014</v>
      </c>
      <c r="J851" s="104">
        <v>10</v>
      </c>
      <c r="K851" s="104">
        <v>10</v>
      </c>
      <c r="L851" s="104">
        <v>11</v>
      </c>
      <c r="M851" s="91">
        <v>1</v>
      </c>
      <c r="N851" s="98" t="s">
        <v>54</v>
      </c>
      <c r="O851" s="99" t="s">
        <v>55</v>
      </c>
      <c r="P851" s="151">
        <v>1</v>
      </c>
      <c r="Q851" s="101">
        <f t="shared" si="221"/>
        <v>9065756825</v>
      </c>
      <c r="R851" s="101">
        <f t="shared" si="222"/>
        <v>7343263028</v>
      </c>
      <c r="S851" s="144">
        <v>1</v>
      </c>
      <c r="T851" s="151">
        <v>3</v>
      </c>
      <c r="U851" s="27" t="s">
        <v>280</v>
      </c>
      <c r="V851" s="151" t="s">
        <v>207</v>
      </c>
      <c r="W851" s="151" t="s">
        <v>208</v>
      </c>
      <c r="X851" s="131" t="s">
        <v>1007</v>
      </c>
      <c r="Y851" s="104">
        <v>2427400</v>
      </c>
      <c r="Z851" s="133" t="s">
        <v>1008</v>
      </c>
    </row>
    <row r="852" spans="1:26" s="5" customFormat="1" ht="12.75" hidden="1" customHeight="1" x14ac:dyDescent="0.2">
      <c r="A852" s="171" t="s">
        <v>824</v>
      </c>
      <c r="B852" s="104">
        <v>171</v>
      </c>
      <c r="C852" s="134" t="s">
        <v>1004</v>
      </c>
      <c r="D852" s="131" t="s">
        <v>826</v>
      </c>
      <c r="E852" s="132"/>
      <c r="F852" s="132">
        <v>6029638948</v>
      </c>
      <c r="G852" s="132">
        <v>1414359753</v>
      </c>
      <c r="H852" s="131">
        <v>80101604</v>
      </c>
      <c r="I852" s="134" t="s">
        <v>1015</v>
      </c>
      <c r="J852" s="104">
        <v>10</v>
      </c>
      <c r="K852" s="104">
        <v>10</v>
      </c>
      <c r="L852" s="104">
        <v>11</v>
      </c>
      <c r="M852" s="91">
        <v>1</v>
      </c>
      <c r="N852" s="98" t="s">
        <v>54</v>
      </c>
      <c r="O852" s="99" t="s">
        <v>55</v>
      </c>
      <c r="P852" s="151">
        <v>1</v>
      </c>
      <c r="Q852" s="101">
        <f t="shared" si="221"/>
        <v>7443998701</v>
      </c>
      <c r="R852" s="101">
        <f t="shared" si="222"/>
        <v>6029638948</v>
      </c>
      <c r="S852" s="144">
        <v>1</v>
      </c>
      <c r="T852" s="151">
        <v>3</v>
      </c>
      <c r="U852" s="27" t="s">
        <v>280</v>
      </c>
      <c r="V852" s="151" t="s">
        <v>207</v>
      </c>
      <c r="W852" s="151" t="s">
        <v>208</v>
      </c>
      <c r="X852" s="131" t="s">
        <v>1007</v>
      </c>
      <c r="Y852" s="104">
        <v>2427400</v>
      </c>
      <c r="Z852" s="133" t="s">
        <v>1008</v>
      </c>
    </row>
    <row r="853" spans="1:26" s="5" customFormat="1" ht="12.75" hidden="1" customHeight="1" x14ac:dyDescent="0.2">
      <c r="A853" s="171" t="s">
        <v>824</v>
      </c>
      <c r="B853" s="104">
        <v>172</v>
      </c>
      <c r="C853" s="134" t="s">
        <v>1004</v>
      </c>
      <c r="D853" s="131" t="s">
        <v>826</v>
      </c>
      <c r="E853" s="132"/>
      <c r="F853" s="132">
        <v>6035841085</v>
      </c>
      <c r="G853" s="132">
        <v>1415814576</v>
      </c>
      <c r="H853" s="131">
        <v>80101604</v>
      </c>
      <c r="I853" s="134" t="s">
        <v>1016</v>
      </c>
      <c r="J853" s="104">
        <v>10</v>
      </c>
      <c r="K853" s="104">
        <v>10</v>
      </c>
      <c r="L853" s="104">
        <v>12</v>
      </c>
      <c r="M853" s="91">
        <v>1</v>
      </c>
      <c r="N853" s="98" t="s">
        <v>54</v>
      </c>
      <c r="O853" s="99" t="s">
        <v>55</v>
      </c>
      <c r="P853" s="151">
        <v>1</v>
      </c>
      <c r="Q853" s="101">
        <f t="shared" si="221"/>
        <v>7451655661</v>
      </c>
      <c r="R853" s="101">
        <f t="shared" si="222"/>
        <v>6035841085</v>
      </c>
      <c r="S853" s="144">
        <v>1</v>
      </c>
      <c r="T853" s="151">
        <v>3</v>
      </c>
      <c r="U853" s="27" t="s">
        <v>280</v>
      </c>
      <c r="V853" s="151" t="s">
        <v>207</v>
      </c>
      <c r="W853" s="151" t="s">
        <v>208</v>
      </c>
      <c r="X853" s="131" t="s">
        <v>1007</v>
      </c>
      <c r="Y853" s="104">
        <v>2427400</v>
      </c>
      <c r="Z853" s="133" t="s">
        <v>1008</v>
      </c>
    </row>
    <row r="854" spans="1:26" s="5" customFormat="1" ht="12.75" hidden="1" customHeight="1" x14ac:dyDescent="0.2">
      <c r="A854" s="171" t="s">
        <v>824</v>
      </c>
      <c r="B854" s="104">
        <v>173</v>
      </c>
      <c r="C854" s="134" t="s">
        <v>1004</v>
      </c>
      <c r="D854" s="131" t="s">
        <v>826</v>
      </c>
      <c r="E854" s="132"/>
      <c r="F854" s="132">
        <v>50067246311</v>
      </c>
      <c r="G854" s="132">
        <v>11744168888</v>
      </c>
      <c r="H854" s="131">
        <v>80101604</v>
      </c>
      <c r="I854" s="134" t="s">
        <v>1017</v>
      </c>
      <c r="J854" s="104">
        <v>11</v>
      </c>
      <c r="K854" s="104">
        <v>11</v>
      </c>
      <c r="L854" s="104">
        <v>6</v>
      </c>
      <c r="M854" s="91">
        <v>1</v>
      </c>
      <c r="N854" s="98" t="s">
        <v>54</v>
      </c>
      <c r="O854" s="99" t="s">
        <v>55</v>
      </c>
      <c r="P854" s="151">
        <v>1</v>
      </c>
      <c r="Q854" s="101">
        <f t="shared" ref="Q854" si="223">+E854+F854+G854</f>
        <v>61811415199</v>
      </c>
      <c r="R854" s="101">
        <f t="shared" ref="R854" si="224">+F854</f>
        <v>50067246311</v>
      </c>
      <c r="S854" s="144">
        <v>1</v>
      </c>
      <c r="T854" s="151">
        <v>3</v>
      </c>
      <c r="U854" s="27" t="s">
        <v>280</v>
      </c>
      <c r="V854" s="151" t="s">
        <v>207</v>
      </c>
      <c r="W854" s="151" t="s">
        <v>208</v>
      </c>
      <c r="X854" s="131" t="s">
        <v>1007</v>
      </c>
      <c r="Y854" s="104">
        <v>2427400</v>
      </c>
      <c r="Z854" s="133" t="s">
        <v>1008</v>
      </c>
    </row>
    <row r="855" spans="1:26" s="5" customFormat="1" ht="12.75" hidden="1" customHeight="1" x14ac:dyDescent="0.2">
      <c r="A855" s="171" t="s">
        <v>1018</v>
      </c>
      <c r="B855" s="104">
        <v>1</v>
      </c>
      <c r="C855" s="134" t="s">
        <v>1019</v>
      </c>
      <c r="D855" s="131" t="s">
        <v>1020</v>
      </c>
      <c r="E855" s="132"/>
      <c r="F855" s="132">
        <v>3912000000</v>
      </c>
      <c r="G855" s="132"/>
      <c r="H855" s="131">
        <v>80111600</v>
      </c>
      <c r="I855" s="134" t="s">
        <v>1021</v>
      </c>
      <c r="J855" s="104">
        <v>1</v>
      </c>
      <c r="K855" s="104">
        <v>1</v>
      </c>
      <c r="L855" s="104">
        <v>12</v>
      </c>
      <c r="M855" s="91">
        <f t="shared" ref="M855:M864" si="225">IF(ISBLANK(J855),"",1)</f>
        <v>1</v>
      </c>
      <c r="N855" s="98" t="s">
        <v>54</v>
      </c>
      <c r="O855" s="99" t="s">
        <v>55</v>
      </c>
      <c r="P855" s="151">
        <f t="shared" ref="P855:P864" si="226">IF(ISBLANK(N855),"",1)</f>
        <v>1</v>
      </c>
      <c r="Q855" s="101">
        <f t="shared" si="219"/>
        <v>3912000000</v>
      </c>
      <c r="R855" s="101">
        <f t="shared" si="220"/>
        <v>3912000000</v>
      </c>
      <c r="S855" s="144" t="s">
        <v>56</v>
      </c>
      <c r="T855" s="151">
        <f t="shared" si="218"/>
        <v>0</v>
      </c>
      <c r="U855" s="27" t="str">
        <f t="shared" ref="U855:U864" si="227">IF(ISBLANK(N855),"","SUBDIRECCION DE GESTION CONTRACTUAL")</f>
        <v>SUBDIRECCION DE GESTION CONTRACTUAL</v>
      </c>
      <c r="V855" s="151" t="str">
        <f t="shared" ref="V855:V864" si="228">IF(ISBLANK(N855),"","CO-DC")</f>
        <v>CO-DC</v>
      </c>
      <c r="W855" s="151" t="str">
        <f t="shared" ref="W855:W864" si="229">IF(ISBLANK(N855),"","Distrito Capital de Bogotá")</f>
        <v>Distrito Capital de Bogotá</v>
      </c>
      <c r="X855" s="131" t="s">
        <v>1022</v>
      </c>
      <c r="Y855" s="104">
        <v>2427400</v>
      </c>
      <c r="Z855" s="133" t="s">
        <v>1023</v>
      </c>
    </row>
    <row r="856" spans="1:26" s="5" customFormat="1" ht="12.75" hidden="1" customHeight="1" x14ac:dyDescent="0.2">
      <c r="A856" s="171" t="s">
        <v>1018</v>
      </c>
      <c r="B856" s="104">
        <v>2</v>
      </c>
      <c r="C856" s="134" t="s">
        <v>1019</v>
      </c>
      <c r="D856" s="131" t="s">
        <v>1020</v>
      </c>
      <c r="E856" s="132"/>
      <c r="F856" s="132">
        <v>45600000000</v>
      </c>
      <c r="G856" s="132"/>
      <c r="H856" s="131" t="s">
        <v>264</v>
      </c>
      <c r="I856" s="134" t="s">
        <v>1024</v>
      </c>
      <c r="J856" s="104">
        <v>5</v>
      </c>
      <c r="K856" s="104">
        <v>5</v>
      </c>
      <c r="L856" s="104">
        <v>6</v>
      </c>
      <c r="M856" s="91">
        <f t="shared" si="225"/>
        <v>1</v>
      </c>
      <c r="N856" s="98" t="s">
        <v>64</v>
      </c>
      <c r="O856" s="99" t="s">
        <v>65</v>
      </c>
      <c r="P856" s="151">
        <f t="shared" si="226"/>
        <v>1</v>
      </c>
      <c r="Q856" s="101">
        <f t="shared" si="219"/>
        <v>45600000000</v>
      </c>
      <c r="R856" s="101">
        <f t="shared" si="220"/>
        <v>45600000000</v>
      </c>
      <c r="S856" s="144" t="s">
        <v>56</v>
      </c>
      <c r="T856" s="151">
        <f t="shared" si="218"/>
        <v>0</v>
      </c>
      <c r="U856" s="27" t="str">
        <f t="shared" si="227"/>
        <v>SUBDIRECCION DE GESTION CONTRACTUAL</v>
      </c>
      <c r="V856" s="151" t="str">
        <f t="shared" si="228"/>
        <v>CO-DC</v>
      </c>
      <c r="W856" s="151" t="str">
        <f t="shared" si="229"/>
        <v>Distrito Capital de Bogotá</v>
      </c>
      <c r="X856" s="131" t="s">
        <v>1022</v>
      </c>
      <c r="Y856" s="104">
        <v>2427400</v>
      </c>
      <c r="Z856" s="133" t="s">
        <v>1023</v>
      </c>
    </row>
    <row r="857" spans="1:26" s="5" customFormat="1" ht="12.75" hidden="1" customHeight="1" x14ac:dyDescent="0.2">
      <c r="A857" s="171" t="s">
        <v>1018</v>
      </c>
      <c r="B857" s="104">
        <v>3</v>
      </c>
      <c r="C857" s="134" t="s">
        <v>1019</v>
      </c>
      <c r="D857" s="131" t="s">
        <v>1020</v>
      </c>
      <c r="E857" s="132"/>
      <c r="F857" s="132">
        <v>217600000</v>
      </c>
      <c r="G857" s="132"/>
      <c r="H857" s="131">
        <v>81111800</v>
      </c>
      <c r="I857" s="134" t="s">
        <v>1025</v>
      </c>
      <c r="J857" s="104">
        <v>5</v>
      </c>
      <c r="K857" s="104">
        <v>5</v>
      </c>
      <c r="L857" s="104">
        <v>7</v>
      </c>
      <c r="M857" s="91">
        <f t="shared" si="225"/>
        <v>1</v>
      </c>
      <c r="N857" s="98" t="s">
        <v>64</v>
      </c>
      <c r="O857" s="99" t="s">
        <v>65</v>
      </c>
      <c r="P857" s="151">
        <f t="shared" si="226"/>
        <v>1</v>
      </c>
      <c r="Q857" s="101">
        <f t="shared" si="219"/>
        <v>217600000</v>
      </c>
      <c r="R857" s="101">
        <f t="shared" si="220"/>
        <v>217600000</v>
      </c>
      <c r="S857" s="144" t="s">
        <v>56</v>
      </c>
      <c r="T857" s="151">
        <f t="shared" si="218"/>
        <v>0</v>
      </c>
      <c r="U857" s="27" t="str">
        <f t="shared" si="227"/>
        <v>SUBDIRECCION DE GESTION CONTRACTUAL</v>
      </c>
      <c r="V857" s="151" t="str">
        <f t="shared" si="228"/>
        <v>CO-DC</v>
      </c>
      <c r="W857" s="151" t="str">
        <f t="shared" si="229"/>
        <v>Distrito Capital de Bogotá</v>
      </c>
      <c r="X857" s="131" t="s">
        <v>1022</v>
      </c>
      <c r="Y857" s="104">
        <v>2427400</v>
      </c>
      <c r="Z857" s="133" t="s">
        <v>1023</v>
      </c>
    </row>
    <row r="858" spans="1:26" s="5" customFormat="1" ht="12.75" hidden="1" customHeight="1" x14ac:dyDescent="0.2">
      <c r="A858" s="171" t="s">
        <v>1018</v>
      </c>
      <c r="B858" s="104">
        <v>4</v>
      </c>
      <c r="C858" s="134" t="s">
        <v>1019</v>
      </c>
      <c r="D858" s="131" t="s">
        <v>1020</v>
      </c>
      <c r="E858" s="132"/>
      <c r="F858" s="132">
        <f>16406400000</f>
        <v>16406400000</v>
      </c>
      <c r="G858" s="132"/>
      <c r="H858" s="131" t="s">
        <v>67</v>
      </c>
      <c r="I858" s="134" t="s">
        <v>1026</v>
      </c>
      <c r="J858" s="104">
        <v>2</v>
      </c>
      <c r="K858" s="104">
        <v>3</v>
      </c>
      <c r="L858" s="104">
        <v>9</v>
      </c>
      <c r="M858" s="91">
        <f t="shared" si="225"/>
        <v>1</v>
      </c>
      <c r="N858" s="98" t="s">
        <v>69</v>
      </c>
      <c r="O858" s="99" t="s">
        <v>70</v>
      </c>
      <c r="P858" s="151">
        <f t="shared" si="226"/>
        <v>1</v>
      </c>
      <c r="Q858" s="101">
        <f t="shared" si="219"/>
        <v>16406400000</v>
      </c>
      <c r="R858" s="101">
        <f t="shared" si="220"/>
        <v>16406400000</v>
      </c>
      <c r="S858" s="144" t="s">
        <v>56</v>
      </c>
      <c r="T858" s="151">
        <f t="shared" si="218"/>
        <v>0</v>
      </c>
      <c r="U858" s="27" t="str">
        <f t="shared" si="227"/>
        <v>SUBDIRECCION DE GESTION CONTRACTUAL</v>
      </c>
      <c r="V858" s="151" t="str">
        <f t="shared" si="228"/>
        <v>CO-DC</v>
      </c>
      <c r="W858" s="151" t="str">
        <f t="shared" si="229"/>
        <v>Distrito Capital de Bogotá</v>
      </c>
      <c r="X858" s="131" t="s">
        <v>1022</v>
      </c>
      <c r="Y858" s="104">
        <v>2427400</v>
      </c>
      <c r="Z858" s="133" t="s">
        <v>1023</v>
      </c>
    </row>
    <row r="859" spans="1:26" s="5" customFormat="1" ht="12.75" hidden="1" customHeight="1" x14ac:dyDescent="0.2">
      <c r="A859" s="171" t="s">
        <v>1018</v>
      </c>
      <c r="B859" s="104">
        <v>5</v>
      </c>
      <c r="C859" s="134" t="s">
        <v>1019</v>
      </c>
      <c r="D859" s="131" t="s">
        <v>1020</v>
      </c>
      <c r="E859" s="132"/>
      <c r="F859" s="132">
        <v>3124000000</v>
      </c>
      <c r="G859" s="132"/>
      <c r="H859" s="131" t="s">
        <v>1027</v>
      </c>
      <c r="I859" s="134" t="s">
        <v>1028</v>
      </c>
      <c r="J859" s="104">
        <v>7</v>
      </c>
      <c r="K859" s="104">
        <v>7</v>
      </c>
      <c r="L859" s="104">
        <v>5</v>
      </c>
      <c r="M859" s="91">
        <f t="shared" si="225"/>
        <v>1</v>
      </c>
      <c r="N859" s="98" t="s">
        <v>64</v>
      </c>
      <c r="O859" s="99" t="s">
        <v>65</v>
      </c>
      <c r="P859" s="151">
        <f t="shared" si="226"/>
        <v>1</v>
      </c>
      <c r="Q859" s="101">
        <f t="shared" si="219"/>
        <v>3124000000</v>
      </c>
      <c r="R859" s="101">
        <f t="shared" si="220"/>
        <v>3124000000</v>
      </c>
      <c r="S859" s="144" t="s">
        <v>56</v>
      </c>
      <c r="T859" s="151">
        <f t="shared" si="218"/>
        <v>0</v>
      </c>
      <c r="U859" s="27" t="str">
        <f t="shared" si="227"/>
        <v>SUBDIRECCION DE GESTION CONTRACTUAL</v>
      </c>
      <c r="V859" s="151" t="str">
        <f t="shared" si="228"/>
        <v>CO-DC</v>
      </c>
      <c r="W859" s="151" t="str">
        <f t="shared" si="229"/>
        <v>Distrito Capital de Bogotá</v>
      </c>
      <c r="X859" s="131" t="s">
        <v>1022</v>
      </c>
      <c r="Y859" s="104">
        <v>2427400</v>
      </c>
      <c r="Z859" s="133" t="s">
        <v>1023</v>
      </c>
    </row>
    <row r="860" spans="1:26" s="5" customFormat="1" ht="12.75" hidden="1" customHeight="1" x14ac:dyDescent="0.2">
      <c r="A860" s="171" t="s">
        <v>1018</v>
      </c>
      <c r="B860" s="104">
        <v>6</v>
      </c>
      <c r="C860" s="134" t="s">
        <v>1019</v>
      </c>
      <c r="D860" s="131" t="s">
        <v>1020</v>
      </c>
      <c r="E860" s="132"/>
      <c r="F860" s="132">
        <v>115000000</v>
      </c>
      <c r="G860" s="132"/>
      <c r="H860" s="131">
        <v>86132000</v>
      </c>
      <c r="I860" s="134" t="s">
        <v>1029</v>
      </c>
      <c r="J860" s="104">
        <v>7</v>
      </c>
      <c r="K860" s="104">
        <v>7</v>
      </c>
      <c r="L860" s="104">
        <v>5</v>
      </c>
      <c r="M860" s="91">
        <f t="shared" si="225"/>
        <v>1</v>
      </c>
      <c r="N860" s="98" t="s">
        <v>64</v>
      </c>
      <c r="O860" s="99" t="s">
        <v>65</v>
      </c>
      <c r="P860" s="151">
        <f t="shared" si="226"/>
        <v>1</v>
      </c>
      <c r="Q860" s="101">
        <f t="shared" si="219"/>
        <v>115000000</v>
      </c>
      <c r="R860" s="101">
        <f t="shared" si="220"/>
        <v>115000000</v>
      </c>
      <c r="S860" s="144" t="s">
        <v>56</v>
      </c>
      <c r="T860" s="151">
        <f t="shared" si="218"/>
        <v>0</v>
      </c>
      <c r="U860" s="27" t="str">
        <f t="shared" si="227"/>
        <v>SUBDIRECCION DE GESTION CONTRACTUAL</v>
      </c>
      <c r="V860" s="151" t="str">
        <f t="shared" si="228"/>
        <v>CO-DC</v>
      </c>
      <c r="W860" s="151" t="str">
        <f t="shared" si="229"/>
        <v>Distrito Capital de Bogotá</v>
      </c>
      <c r="X860" s="131" t="s">
        <v>1022</v>
      </c>
      <c r="Y860" s="104">
        <v>2427400</v>
      </c>
      <c r="Z860" s="133" t="s">
        <v>1023</v>
      </c>
    </row>
    <row r="861" spans="1:26" s="5" customFormat="1" ht="12.75" hidden="1" customHeight="1" x14ac:dyDescent="0.2">
      <c r="A861" s="171" t="s">
        <v>1018</v>
      </c>
      <c r="B861" s="104">
        <v>7</v>
      </c>
      <c r="C861" s="134" t="s">
        <v>1019</v>
      </c>
      <c r="D861" s="131" t="s">
        <v>1020</v>
      </c>
      <c r="E861" s="132"/>
      <c r="F861" s="132">
        <v>500000000</v>
      </c>
      <c r="G861" s="132"/>
      <c r="H861" s="131" t="s">
        <v>1030</v>
      </c>
      <c r="I861" s="134" t="s">
        <v>1031</v>
      </c>
      <c r="J861" s="104">
        <v>7</v>
      </c>
      <c r="K861" s="104">
        <v>7</v>
      </c>
      <c r="L861" s="104">
        <v>5</v>
      </c>
      <c r="M861" s="91">
        <f t="shared" si="225"/>
        <v>1</v>
      </c>
      <c r="N861" s="98" t="s">
        <v>64</v>
      </c>
      <c r="O861" s="99" t="s">
        <v>65</v>
      </c>
      <c r="P861" s="151">
        <f t="shared" si="226"/>
        <v>1</v>
      </c>
      <c r="Q861" s="101">
        <f t="shared" si="219"/>
        <v>500000000</v>
      </c>
      <c r="R861" s="101">
        <f t="shared" si="220"/>
        <v>500000000</v>
      </c>
      <c r="S861" s="144" t="s">
        <v>56</v>
      </c>
      <c r="T861" s="151">
        <f t="shared" si="218"/>
        <v>0</v>
      </c>
      <c r="U861" s="27" t="str">
        <f t="shared" si="227"/>
        <v>SUBDIRECCION DE GESTION CONTRACTUAL</v>
      </c>
      <c r="V861" s="151" t="str">
        <f t="shared" si="228"/>
        <v>CO-DC</v>
      </c>
      <c r="W861" s="151" t="str">
        <f t="shared" si="229"/>
        <v>Distrito Capital de Bogotá</v>
      </c>
      <c r="X861" s="131" t="s">
        <v>1032</v>
      </c>
      <c r="Y861" s="104">
        <v>2427400</v>
      </c>
      <c r="Z861" s="88" t="s">
        <v>1033</v>
      </c>
    </row>
    <row r="862" spans="1:26" s="5" customFormat="1" ht="12.75" hidden="1" customHeight="1" x14ac:dyDescent="0.2">
      <c r="A862" s="171" t="s">
        <v>1018</v>
      </c>
      <c r="B862" s="104">
        <v>8</v>
      </c>
      <c r="C862" s="134" t="s">
        <v>1019</v>
      </c>
      <c r="D862" s="131" t="s">
        <v>1020</v>
      </c>
      <c r="E862" s="132"/>
      <c r="F862" s="132">
        <f>1650000000-80000000</f>
        <v>1570000000</v>
      </c>
      <c r="G862" s="132"/>
      <c r="H862" s="131" t="s">
        <v>59</v>
      </c>
      <c r="I862" s="134" t="s">
        <v>1034</v>
      </c>
      <c r="J862" s="104">
        <v>3</v>
      </c>
      <c r="K862" s="104">
        <v>4</v>
      </c>
      <c r="L862" s="104">
        <v>9</v>
      </c>
      <c r="M862" s="91">
        <f t="shared" si="225"/>
        <v>1</v>
      </c>
      <c r="N862" s="98" t="s">
        <v>61</v>
      </c>
      <c r="O862" s="99" t="s">
        <v>62</v>
      </c>
      <c r="P862" s="151">
        <f t="shared" si="226"/>
        <v>1</v>
      </c>
      <c r="Q862" s="101">
        <f t="shared" si="219"/>
        <v>1570000000</v>
      </c>
      <c r="R862" s="101">
        <f t="shared" si="220"/>
        <v>1570000000</v>
      </c>
      <c r="S862" s="144" t="s">
        <v>56</v>
      </c>
      <c r="T862" s="151">
        <f t="shared" si="218"/>
        <v>0</v>
      </c>
      <c r="U862" s="27" t="str">
        <f t="shared" si="227"/>
        <v>SUBDIRECCION DE GESTION CONTRACTUAL</v>
      </c>
      <c r="V862" s="151" t="str">
        <f t="shared" si="228"/>
        <v>CO-DC</v>
      </c>
      <c r="W862" s="151" t="str">
        <f t="shared" si="229"/>
        <v>Distrito Capital de Bogotá</v>
      </c>
      <c r="X862" s="131" t="s">
        <v>162</v>
      </c>
      <c r="Y862" s="104">
        <v>2427400</v>
      </c>
      <c r="Z862" s="133" t="s">
        <v>163</v>
      </c>
    </row>
    <row r="863" spans="1:26" s="5" customFormat="1" ht="12.75" hidden="1" customHeight="1" x14ac:dyDescent="0.2">
      <c r="A863" s="171" t="s">
        <v>1018</v>
      </c>
      <c r="B863" s="104">
        <v>9</v>
      </c>
      <c r="C863" s="134" t="s">
        <v>1019</v>
      </c>
      <c r="D863" s="131" t="s">
        <v>1020</v>
      </c>
      <c r="E863" s="132"/>
      <c r="F863" s="132">
        <f>1000000000</f>
        <v>1000000000</v>
      </c>
      <c r="G863" s="132"/>
      <c r="H863" s="131" t="s">
        <v>67</v>
      </c>
      <c r="I863" s="134" t="s">
        <v>1026</v>
      </c>
      <c r="J863" s="104">
        <v>1</v>
      </c>
      <c r="K863" s="104">
        <v>2</v>
      </c>
      <c r="L863" s="104">
        <v>3</v>
      </c>
      <c r="M863" s="91">
        <f t="shared" si="225"/>
        <v>1</v>
      </c>
      <c r="N863" s="98" t="s">
        <v>64</v>
      </c>
      <c r="O863" s="99" t="s">
        <v>65</v>
      </c>
      <c r="P863" s="151">
        <f t="shared" si="226"/>
        <v>1</v>
      </c>
      <c r="Q863" s="101">
        <f t="shared" si="219"/>
        <v>1000000000</v>
      </c>
      <c r="R863" s="101">
        <f t="shared" si="220"/>
        <v>1000000000</v>
      </c>
      <c r="S863" s="144" t="s">
        <v>56</v>
      </c>
      <c r="T863" s="151">
        <f t="shared" si="218"/>
        <v>0</v>
      </c>
      <c r="U863" s="27" t="str">
        <f t="shared" si="227"/>
        <v>SUBDIRECCION DE GESTION CONTRACTUAL</v>
      </c>
      <c r="V863" s="151" t="str">
        <f t="shared" si="228"/>
        <v>CO-DC</v>
      </c>
      <c r="W863" s="151" t="str">
        <f t="shared" si="229"/>
        <v>Distrito Capital de Bogotá</v>
      </c>
      <c r="X863" s="131" t="s">
        <v>1022</v>
      </c>
      <c r="Y863" s="104">
        <v>2427400</v>
      </c>
      <c r="Z863" s="133" t="s">
        <v>1023</v>
      </c>
    </row>
    <row r="864" spans="1:26" s="5" customFormat="1" ht="12.75" hidden="1" customHeight="1" x14ac:dyDescent="0.2">
      <c r="A864" s="171" t="s">
        <v>1018</v>
      </c>
      <c r="B864" s="104">
        <v>10</v>
      </c>
      <c r="C864" s="134" t="s">
        <v>1019</v>
      </c>
      <c r="D864" s="131" t="s">
        <v>1020</v>
      </c>
      <c r="E864" s="132"/>
      <c r="F864" s="132">
        <v>200000000</v>
      </c>
      <c r="G864" s="132"/>
      <c r="H864" s="131" t="s">
        <v>467</v>
      </c>
      <c r="I864" s="76" t="s">
        <v>1035</v>
      </c>
      <c r="J864" s="104">
        <v>7</v>
      </c>
      <c r="K864" s="104">
        <v>9</v>
      </c>
      <c r="L864" s="104">
        <v>3</v>
      </c>
      <c r="M864" s="91">
        <f t="shared" si="225"/>
        <v>1</v>
      </c>
      <c r="N864" s="98" t="s">
        <v>61</v>
      </c>
      <c r="O864" s="99" t="s">
        <v>62</v>
      </c>
      <c r="P864" s="151">
        <f t="shared" si="226"/>
        <v>1</v>
      </c>
      <c r="Q864" s="101">
        <f t="shared" si="219"/>
        <v>200000000</v>
      </c>
      <c r="R864" s="101">
        <f t="shared" si="220"/>
        <v>200000000</v>
      </c>
      <c r="S864" s="144" t="s">
        <v>56</v>
      </c>
      <c r="T864" s="151">
        <f t="shared" si="218"/>
        <v>0</v>
      </c>
      <c r="U864" s="27" t="str">
        <f t="shared" si="227"/>
        <v>SUBDIRECCION DE GESTION CONTRACTUAL</v>
      </c>
      <c r="V864" s="151" t="str">
        <f t="shared" si="228"/>
        <v>CO-DC</v>
      </c>
      <c r="W864" s="151" t="str">
        <f t="shared" si="229"/>
        <v>Distrito Capital de Bogotá</v>
      </c>
      <c r="X864" s="131" t="s">
        <v>502</v>
      </c>
      <c r="Y864" s="104">
        <v>2427400</v>
      </c>
      <c r="Z864" s="133" t="s">
        <v>503</v>
      </c>
    </row>
    <row r="865" spans="1:27" s="5" customFormat="1" ht="39.75" hidden="1" customHeight="1" x14ac:dyDescent="0.2">
      <c r="A865" s="171" t="s">
        <v>1018</v>
      </c>
      <c r="B865" s="104">
        <v>11</v>
      </c>
      <c r="C865" s="134" t="s">
        <v>1019</v>
      </c>
      <c r="D865" s="131" t="s">
        <v>1020</v>
      </c>
      <c r="E865" s="132"/>
      <c r="F865" s="132">
        <v>80000000</v>
      </c>
      <c r="G865" s="132"/>
      <c r="H865" s="131" t="s">
        <v>1036</v>
      </c>
      <c r="I865" s="76" t="s">
        <v>1034</v>
      </c>
      <c r="J865" s="104">
        <v>1</v>
      </c>
      <c r="K865" s="104">
        <v>2</v>
      </c>
      <c r="L865" s="104">
        <v>3</v>
      </c>
      <c r="M865" s="91">
        <v>1</v>
      </c>
      <c r="N865" s="98" t="s">
        <v>61</v>
      </c>
      <c r="O865" s="99" t="s">
        <v>62</v>
      </c>
      <c r="P865" s="151">
        <v>1</v>
      </c>
      <c r="Q865" s="101">
        <f t="shared" ref="Q865" si="230">+E865+F865+G865</f>
        <v>80000000</v>
      </c>
      <c r="R865" s="101">
        <f t="shared" ref="R865" si="231">+F865</f>
        <v>80000000</v>
      </c>
      <c r="S865" s="144" t="s">
        <v>56</v>
      </c>
      <c r="T865" s="151">
        <v>0</v>
      </c>
      <c r="U865" s="27" t="str">
        <f t="shared" ref="U865" si="232">IF(ISBLANK(N865),"","SUBDIRECCION DE GESTION CONTRACTUAL")</f>
        <v>SUBDIRECCION DE GESTION CONTRACTUAL</v>
      </c>
      <c r="V865" s="151" t="str">
        <f t="shared" ref="V865" si="233">IF(ISBLANK(N865),"","CO-DC")</f>
        <v>CO-DC</v>
      </c>
      <c r="W865" s="151" t="str">
        <f t="shared" ref="W865" si="234">IF(ISBLANK(N865),"","Distrito Capital de Bogotá")</f>
        <v>Distrito Capital de Bogotá</v>
      </c>
      <c r="X865" s="131" t="s">
        <v>162</v>
      </c>
      <c r="Y865" s="104">
        <v>2427400</v>
      </c>
      <c r="Z865" s="133" t="s">
        <v>163</v>
      </c>
    </row>
    <row r="866" spans="1:27" ht="15" customHeight="1" x14ac:dyDescent="0.2">
      <c r="A866" s="264"/>
      <c r="B866" s="264"/>
      <c r="C866" s="265"/>
      <c r="D866" s="265"/>
      <c r="E866" s="266"/>
      <c r="F866" s="266">
        <f>SUBTOTAL(9,F7:F865)</f>
        <v>126741317031</v>
      </c>
      <c r="G866" s="266">
        <f>SUBTOTAL(9,G7:G865)</f>
        <v>0</v>
      </c>
      <c r="H866" s="267"/>
      <c r="I866" s="236"/>
      <c r="J866" s="268"/>
      <c r="K866" s="268"/>
      <c r="L866" s="268"/>
      <c r="M866" s="264"/>
      <c r="N866" s="264"/>
      <c r="O866" s="268"/>
      <c r="P866" s="268"/>
      <c r="Q866" s="266"/>
      <c r="R866" s="266"/>
      <c r="S866" s="264"/>
      <c r="T866" s="264"/>
      <c r="U866" s="268"/>
      <c r="V866" s="264"/>
      <c r="W866" s="268"/>
      <c r="X866" s="265"/>
      <c r="Y866" s="264"/>
      <c r="Z866" s="265"/>
    </row>
    <row r="869" spans="1:27" ht="15" customHeight="1" x14ac:dyDescent="0.2">
      <c r="AA869" s="64"/>
    </row>
    <row r="871" spans="1:27" ht="15" customHeight="1" x14ac:dyDescent="0.2">
      <c r="W871" s="64"/>
    </row>
    <row r="872" spans="1:27" ht="15" customHeight="1" x14ac:dyDescent="0.2">
      <c r="I872" s="65"/>
    </row>
    <row r="877" spans="1:27" ht="15" customHeight="1" x14ac:dyDescent="0.2">
      <c r="E877" s="57" t="s">
        <v>1037</v>
      </c>
    </row>
  </sheetData>
  <sheetProtection insertRows="0" selectLockedCells="1"/>
  <autoFilter ref="A5:Z865" xr:uid="{00000000-0001-0000-0100-000000000000}">
    <filterColumn colId="0">
      <filters>
        <filter val="DDPCAC"/>
      </filters>
    </filterColumn>
    <filterColumn colId="4" showButton="0"/>
    <filterColumn colId="5" showButton="0"/>
  </autoFilter>
  <mergeCells count="24">
    <mergeCell ref="N5:N6"/>
    <mergeCell ref="A5:A6"/>
    <mergeCell ref="B5:B6"/>
    <mergeCell ref="C5:C6"/>
    <mergeCell ref="D5:D6"/>
    <mergeCell ref="E5:G5"/>
    <mergeCell ref="H5:H6"/>
    <mergeCell ref="I5:I6"/>
    <mergeCell ref="J5:J6"/>
    <mergeCell ref="K5:K6"/>
    <mergeCell ref="L5:L6"/>
    <mergeCell ref="M5:M6"/>
    <mergeCell ref="Z5:Z6"/>
    <mergeCell ref="O5:O6"/>
    <mergeCell ref="P5:P6"/>
    <mergeCell ref="Q5:Q6"/>
    <mergeCell ref="R5:R6"/>
    <mergeCell ref="S5:S6"/>
    <mergeCell ref="T5:T6"/>
    <mergeCell ref="U5:U6"/>
    <mergeCell ref="V5:V6"/>
    <mergeCell ref="W5:W6"/>
    <mergeCell ref="X5:X6"/>
    <mergeCell ref="Y5:Y6"/>
  </mergeCells>
  <dataValidations count="5">
    <dataValidation allowBlank="1" showErrorMessage="1" sqref="V585 V588:V1048576 V7:V168 V170:V574" xr:uid="{D9BD2240-0AA4-4873-AD1E-0FD1E8546745}"/>
    <dataValidation type="whole" operator="greaterThanOrEqual" allowBlank="1" showInputMessage="1" showErrorMessage="1" sqref="E28:E44 E394:G519 G213:G278 F35:G44 E84:G93 G369 E589:G758 E373:E393 F375:F380 F33 E34:G34 F759:F786 G373:G393 F382:F393 Q371:R372 E370:G372 F567:F571 F265:F278 E585:G585 F27:F31 E45:G81 E7:F26 G7:G33 E521:G565 F873 G855:G865 G759:G833 E787:E833 E855:E865 E205:E278 F205:G212 F213:F262 E99:G168 E170:G204 E834:G854 E279:G368" xr:uid="{9D85510E-15BC-4F4A-B4E8-106DFFD7B8CA}">
      <formula1>0</formula1>
    </dataValidation>
    <dataValidation type="whole" allowBlank="1" showInputMessage="1" showErrorMessage="1" sqref="M486:M509 L341:L349 L271 L546:L553 L335:L339 M855:M865 L296:L298 L277:L294 L323:L327 L316:L321 L329:L333 L351 L147:L199 L407:L445 L588:L688 L310:L314 L537:L544 L690:L716 L7:L23 L518:L519 L97:L99 L358:L362 L555:L566 L585 L447:L516 L383:L405 K142:K144 L718:L755 L25:L91 M759:M833 L101:L104 L106:L145 L577 L757:L865 K134 L201:L264 L353:L356 L364:L381 L521:L535 K126 K128 K136:K138 K132 L300:L308" xr:uid="{CFCE1EE5-FBDD-4907-B864-A570FB4102A5}">
      <formula1>1</formula1>
      <formula2>24</formula2>
    </dataValidation>
    <dataValidation type="whole" allowBlank="1" showDropDown="1" showInputMessage="1" showErrorMessage="1" sqref="K458:K459 J83:K91 J201:K215 K184 J718:K755 J335:K339 J93 J341:K349 J296:K298 L100 J279:K294 J323:K327 J316:K321 J329:K333 J458:J463 J74:J75 J555:K566 J310:K314 J690:K716 J757:K865 J447:K457 J145:K145 J518:K519 J181:J184 J383:K445 K139:K141 J185:K199 J464:K516 J588:K662 J585:K585 J351:K362 J82 K97:K125 J663 J7:K23 J263:K264 J277:K277 J278 J216:J217 J218:K219 J220 J262 J225 J226:K226 J227 J228:K230 J231 J221:K224 J238:J240 J232:K237 J249:J250 J251:K255 J256:J258 J259:K261 J241:K248 J25:K60 J63:K65 J61:J62 J70:K71 J72 J73:K73 J66:J69 J76:K76 J77 J78:K79 J80 J81:K81 L406:M406 J577:K577 J271:K271 J147:K180 K131 J364:K381 J136:J144 J521:K544 J546:K553 J664:K688 K127 J135:K135 J133:K133 J134 J131:J132 J130:K130 K129 J97:J129 J300:K308" xr:uid="{D662A41C-6698-4CC2-84CC-619DC6345832}">
      <formula1>1</formula1>
      <formula2>12</formula2>
    </dataValidation>
    <dataValidation allowBlank="1" showDropDown="1" showInputMessage="1" showErrorMessage="1" sqref="K82 K61:K62 K72 K66:K69 K77 K80 K74:K75" xr:uid="{B43C89B5-3E04-4D98-888E-2C53BC7A45B1}"/>
  </dataValidations>
  <hyperlinks>
    <hyperlink ref="Z59" r:id="rId1" xr:uid="{76006292-2AB0-46DC-8224-1FB98B4910E5}"/>
    <hyperlink ref="Z92" r:id="rId2" xr:uid="{0F884ED8-8699-4977-8C1F-D390C0D225A0}"/>
    <hyperlink ref="Z94" r:id="rId3" xr:uid="{F7170A64-F5C4-4459-9C04-4D7D20E25397}"/>
    <hyperlink ref="Z95" r:id="rId4" xr:uid="{FD2D1B14-929B-464D-9109-4CBD9E5BF9BA}"/>
    <hyperlink ref="Z58" r:id="rId5" xr:uid="{9E9E29E0-F61C-4660-A8BD-36E9EF0AEECD}"/>
    <hyperlink ref="Z379" r:id="rId6" xr:uid="{36860396-EB56-4E6A-9B23-CC3B1C929E48}"/>
    <hyperlink ref="Z374:Z378" r:id="rId7" display="yuly.manosalva@mininterior.gov.co" xr:uid="{02599400-03FA-4FB6-B9EC-FEE434A8BC12}"/>
    <hyperlink ref="Z386" r:id="rId8" xr:uid="{25F56525-310F-46F9-A594-617568FF37F6}"/>
    <hyperlink ref="Z387" r:id="rId9" xr:uid="{886DCF1E-AF8F-43DB-8526-244090F7232D}"/>
    <hyperlink ref="Z390" r:id="rId10" xr:uid="{3835D477-9C6E-4232-BE94-6FAFE0805639}"/>
    <hyperlink ref="Z391" r:id="rId11" xr:uid="{84502D7C-E2DF-4E22-A5C7-21D73CBFE46C}"/>
    <hyperlink ref="Z392" r:id="rId12" xr:uid="{06FE0D5F-DBF1-4DFA-BC8C-B4D5911078E9}"/>
    <hyperlink ref="Z393" r:id="rId13" xr:uid="{776895E6-6D25-4E72-B6B7-5BC086696949}"/>
    <hyperlink ref="Z394" r:id="rId14" xr:uid="{022679B1-4D6D-47E5-972A-26A96E403E55}"/>
    <hyperlink ref="Z396" r:id="rId15" xr:uid="{0FD801E1-8820-439A-B0C6-1633CB21E6FE}"/>
    <hyperlink ref="Z397" r:id="rId16" xr:uid="{A8B4061C-C059-442A-BFDA-9722EFD3E585}"/>
    <hyperlink ref="Z408" r:id="rId17" xr:uid="{A8F226F8-F3B0-4D03-A14E-552FEAC9F815}"/>
    <hyperlink ref="Z612" r:id="rId18" xr:uid="{5B8FFC6D-6317-47AC-BD18-E86AD127F5F2}"/>
    <hyperlink ref="Z682" r:id="rId19" xr:uid="{890D47E1-05BD-4099-9745-88928F8AAD79}"/>
    <hyperlink ref="Z683" r:id="rId20" xr:uid="{D27B0A3B-6181-49EE-A6D3-F6C95809C558}"/>
    <hyperlink ref="Z684" r:id="rId21" xr:uid="{E698554F-3842-491C-A11B-85C8A6663983}"/>
    <hyperlink ref="Z685" r:id="rId22" xr:uid="{92DE8BFA-FDFC-4FF3-95B7-6616FFADC002}"/>
    <hyperlink ref="Z686" r:id="rId23" xr:uid="{2344CF37-8B34-437E-B61E-7BFA9DCCE2F2}"/>
    <hyperlink ref="Z687" r:id="rId24" xr:uid="{D26D8DAF-5115-4585-BD97-69E74B41D5F0}"/>
    <hyperlink ref="Z688" r:id="rId25" xr:uid="{B46A9771-430D-4557-90F4-CA4B5F40508A}"/>
    <hyperlink ref="Z689" r:id="rId26" xr:uid="{27614312-569B-460F-880C-3475BEFDA8F8}"/>
    <hyperlink ref="Z690" r:id="rId27" xr:uid="{EDF1A877-6E21-4FAB-86ED-A6DB9442BC92}"/>
    <hyperlink ref="Z691" r:id="rId28" xr:uid="{EE556D27-36FE-4833-B2D1-F9EB910A68F6}"/>
    <hyperlink ref="Z692" r:id="rId29" xr:uid="{6C16622A-88EF-4CC5-9185-BF4CE9DD384B}"/>
    <hyperlink ref="Z693" r:id="rId30" xr:uid="{F6550A90-D57E-4E17-9DB6-678396BBEB0F}"/>
    <hyperlink ref="Z694" r:id="rId31" xr:uid="{C95DA12F-A11C-4B5B-8B33-ECB6E222E000}"/>
    <hyperlink ref="Z695" r:id="rId32" xr:uid="{7E58B801-99A7-4ED5-BB5E-BAB9D2F9E6D6}"/>
    <hyperlink ref="Z696" r:id="rId33" xr:uid="{A7F56F75-281C-4D69-9B62-7B5FB762813A}"/>
    <hyperlink ref="Z697" r:id="rId34" xr:uid="{29805904-C2E1-4F43-A053-488044E5DB5C}"/>
    <hyperlink ref="Z698" r:id="rId35" xr:uid="{05A6B752-27CA-4D77-B473-437818F798C3}"/>
    <hyperlink ref="Z699" r:id="rId36" xr:uid="{3AC57CE0-1F35-4447-99A0-7A3422C8DB6C}"/>
    <hyperlink ref="Z700" r:id="rId37" xr:uid="{BD8FD80A-5463-44FA-AC0E-BD4EF32BA7E7}"/>
    <hyperlink ref="Z701" r:id="rId38" xr:uid="{A5C6ACA3-EB4E-4E1D-B85C-568A1C5A8E83}"/>
    <hyperlink ref="Z702" r:id="rId39" xr:uid="{5E8845F8-7E79-43B9-8411-8441AA5FDAB5}"/>
    <hyperlink ref="Z703" r:id="rId40" xr:uid="{94E6E513-0D61-4BFF-BC5C-E85A29082320}"/>
    <hyperlink ref="Z704" r:id="rId41" xr:uid="{724DCEFA-D8C2-4EF3-8C7C-F6B0B29411BC}"/>
    <hyperlink ref="Z705" r:id="rId42" xr:uid="{484FC124-09AD-4199-9FE0-FA1841E5055E}"/>
    <hyperlink ref="Z706" r:id="rId43" xr:uid="{A8B99952-A3F8-4785-9EF1-92581A7B296E}"/>
    <hyperlink ref="Z707" r:id="rId44" xr:uid="{09352B00-D965-4A7B-8854-55237F5D5EF9}"/>
    <hyperlink ref="Z708" r:id="rId45" xr:uid="{A478A985-E47B-44C8-A89C-6E9DC2594664}"/>
    <hyperlink ref="Z709" r:id="rId46" xr:uid="{A2A289BC-56C4-43FB-8A27-BFD6F15C8A82}"/>
    <hyperlink ref="Z710" r:id="rId47" xr:uid="{0EF02968-E6D5-48DE-813B-5A8B9C54830B}"/>
    <hyperlink ref="Z711" r:id="rId48" xr:uid="{73C96CB5-7140-4779-8ECF-EFFA387F6653}"/>
    <hyperlink ref="Z712" r:id="rId49" xr:uid="{58462025-DC38-45C6-8D69-51DBD8D09A01}"/>
    <hyperlink ref="Z713" r:id="rId50" xr:uid="{6AEB98FE-B5B8-4ADE-B33C-7746A2BF4C57}"/>
    <hyperlink ref="Z714" r:id="rId51" xr:uid="{232A16D2-DD54-4A58-B379-0A4000EDCCF7}"/>
    <hyperlink ref="Z715" r:id="rId52" xr:uid="{1F280747-FA46-4562-BDA3-A6C50711F02F}"/>
    <hyperlink ref="Z716" r:id="rId53" xr:uid="{04136FC4-4972-40AD-8E51-DFD1BDB87729}"/>
    <hyperlink ref="Z717" r:id="rId54" xr:uid="{8DBF8777-0622-490B-A7CB-32B55B2AD511}"/>
    <hyperlink ref="Z718" r:id="rId55" xr:uid="{EDD73ACA-02E1-4C90-8139-9A6693E9C3F2}"/>
    <hyperlink ref="Z719" r:id="rId56" xr:uid="{41E4174F-C3C5-4A3F-B11D-1C6F4C31789F}"/>
    <hyperlink ref="Z720" r:id="rId57" xr:uid="{A82206FE-1111-435F-AD17-209C4FD2E78B}"/>
    <hyperlink ref="Z721" r:id="rId58" xr:uid="{023686F4-7248-4CBB-A032-E0808FCE479C}"/>
    <hyperlink ref="Z722" r:id="rId59" xr:uid="{5D2A97EC-7A67-408D-9BFF-E5B69ED592E6}"/>
    <hyperlink ref="Z723" r:id="rId60" xr:uid="{D792A9D7-5636-410F-90F0-81079845105F}"/>
    <hyperlink ref="Z724" r:id="rId61" xr:uid="{0BC8EDE3-E43D-4C01-B672-8CBAC8F4D1FD}"/>
    <hyperlink ref="Z725" r:id="rId62" xr:uid="{3EAB01BA-16DB-4FB8-8946-0D8BBCC5B6ED}"/>
    <hyperlink ref="Z726" r:id="rId63" xr:uid="{1BBB77D3-87B8-49F9-A334-BC4EECC485CC}"/>
    <hyperlink ref="Z727" r:id="rId64" xr:uid="{98CD9672-8611-4228-8221-F325196DFB5F}"/>
    <hyperlink ref="Z728" r:id="rId65" xr:uid="{BC17720B-145C-4D4F-9F53-5EE727C26C9F}"/>
    <hyperlink ref="Z729" r:id="rId66" xr:uid="{5ADCA7A5-3D18-4ED4-A056-F68520F0ABAA}"/>
    <hyperlink ref="Z730" r:id="rId67" xr:uid="{9C87413D-E483-45F6-8376-5B8E65A336BF}"/>
    <hyperlink ref="Z731" r:id="rId68" xr:uid="{EBB33D8C-FABA-474B-BAEA-E47EAC30A6E8}"/>
    <hyperlink ref="Z732" r:id="rId69" xr:uid="{4AECFCC8-B544-44AA-BBA6-0145D789A82A}"/>
    <hyperlink ref="Z733" r:id="rId70" xr:uid="{D263D9F0-DAEB-441A-8EEF-C462C2AD19EE}"/>
    <hyperlink ref="Z734" r:id="rId71" xr:uid="{4AE60BF7-7FD2-4283-BA79-7AE697D2855F}"/>
    <hyperlink ref="Z735" r:id="rId72" xr:uid="{55952CD4-E571-4BB1-B75B-A0209AA66593}"/>
    <hyperlink ref="Z736" r:id="rId73" xr:uid="{2819AB19-5006-4483-BFF0-1BA5F219D0AE}"/>
    <hyperlink ref="Z737" r:id="rId74" xr:uid="{D60EEC71-A9A4-4C92-BF33-5022D679F0FE}"/>
    <hyperlink ref="Z738" r:id="rId75" xr:uid="{EE126F0C-7F9F-49C9-A7A2-F306801FFCFF}"/>
    <hyperlink ref="Z739" r:id="rId76" xr:uid="{EA8623B7-8AAD-4D80-8BB8-58D1D2713A79}"/>
    <hyperlink ref="Z740" r:id="rId77" xr:uid="{FA329D75-B817-42CC-BC5F-DC27A4AA4281}"/>
    <hyperlink ref="Z741" r:id="rId78" xr:uid="{5C747799-1BD1-4676-8798-674AC1AC5E85}"/>
    <hyperlink ref="Z742" r:id="rId79" xr:uid="{38662587-3A98-4FA1-93C8-0B04C8CE0601}"/>
    <hyperlink ref="Z743" r:id="rId80" xr:uid="{27D720D6-862C-4D2B-AD8F-7B8DFF4E3557}"/>
    <hyperlink ref="Z744" r:id="rId81" xr:uid="{D457BB0A-0CC8-4D4A-9810-8162E527423D}"/>
    <hyperlink ref="Z745" r:id="rId82" xr:uid="{866E943E-C0B2-4281-B348-09F35BA5ABAB}"/>
    <hyperlink ref="Z746" r:id="rId83" xr:uid="{16AE964D-3FEA-4400-AA79-E7EC36A73636}"/>
    <hyperlink ref="Z747" r:id="rId84" xr:uid="{8B5F9515-122A-4D3F-97B6-DDDF7086787D}"/>
    <hyperlink ref="Z748" r:id="rId85" xr:uid="{3A29D73B-ACE9-4A28-B091-0846B75A936A}"/>
    <hyperlink ref="Z749" r:id="rId86" xr:uid="{BEE4AD38-6B19-406A-B56A-D452AE482649}"/>
    <hyperlink ref="Z750" r:id="rId87" xr:uid="{DD676EBE-74D1-45C2-925C-92837969707E}"/>
    <hyperlink ref="Z751" r:id="rId88" xr:uid="{9A3942D3-21ED-4BED-882B-183B961A9D8D}"/>
    <hyperlink ref="Z752" r:id="rId89" xr:uid="{F06C25EF-3503-4CC3-B80A-0EC3C6449997}"/>
    <hyperlink ref="Z753" r:id="rId90" xr:uid="{5F8CF54D-5257-44F7-AD9D-6B5C5799C209}"/>
    <hyperlink ref="Z754" r:id="rId91" xr:uid="{54BD8871-B6E7-41AF-8CBA-431690710225}"/>
    <hyperlink ref="Z755" r:id="rId92" xr:uid="{15492792-8BA9-4D43-A729-B0541C3CCE17}"/>
    <hyperlink ref="Z756" r:id="rId93" xr:uid="{8B87286F-953F-4926-A28B-D991CF70E9A0}"/>
    <hyperlink ref="Z757" r:id="rId94" xr:uid="{9D0683F2-5EE6-4E56-A47D-FD73A5F6D67F}"/>
    <hyperlink ref="Z758" r:id="rId95" xr:uid="{C2404DAE-9604-4D5D-B383-225C2CB6FB95}"/>
    <hyperlink ref="Z759" r:id="rId96" xr:uid="{33B9513F-B312-4887-96DD-CDA1B6CB4286}"/>
    <hyperlink ref="Z760" r:id="rId97" xr:uid="{C6D91452-073D-4270-A2C3-403968E661A4}"/>
    <hyperlink ref="Z761" r:id="rId98" xr:uid="{0E433CF8-F5FD-476E-8AE7-6193D5ACE37B}"/>
    <hyperlink ref="Z762" r:id="rId99" xr:uid="{CF15C169-A814-4E3E-82D6-119AEA1681FA}"/>
    <hyperlink ref="Z763" r:id="rId100" xr:uid="{74174DF0-FB09-4AF9-8771-241A4C97B880}"/>
    <hyperlink ref="Z764" r:id="rId101" xr:uid="{3E9EE930-48B2-40E0-BC49-B2FE4541EF0E}"/>
    <hyperlink ref="Z765" r:id="rId102" xr:uid="{3694FF72-5B17-42D0-AD2B-2D998250A205}"/>
    <hyperlink ref="Z766" r:id="rId103" xr:uid="{D3447536-3B60-4857-AC96-6A912494953D}"/>
    <hyperlink ref="Z767" r:id="rId104" xr:uid="{946390A3-E8CA-407B-A3D1-DB6D2BFF8D35}"/>
    <hyperlink ref="Z768" r:id="rId105" xr:uid="{0D20C12E-A036-4095-A93C-77017FD1CAB6}"/>
    <hyperlink ref="Z769" r:id="rId106" xr:uid="{E827706A-10C9-41AF-B81F-1D15867F7F3C}"/>
    <hyperlink ref="Z770" r:id="rId107" xr:uid="{2C7921BD-F854-45C3-9856-BE2560E0D20A}"/>
    <hyperlink ref="Z771" r:id="rId108" xr:uid="{D87A96E4-E4E5-4969-A357-C1D10046D29F}"/>
    <hyperlink ref="Z772" r:id="rId109" xr:uid="{CDE69F15-09B6-4F2D-BEBE-C04CF5953313}"/>
    <hyperlink ref="Z773" r:id="rId110" xr:uid="{87CB4A4D-04F9-4F37-A806-61A28E6C8495}"/>
    <hyperlink ref="Z798" r:id="rId111" xr:uid="{0E67A875-4F4B-4FB4-9B45-79E7D09EEEA8}"/>
    <hyperlink ref="Z799" r:id="rId112" xr:uid="{CB61EBAD-9F19-4BAC-9505-E50C6D182C20}"/>
    <hyperlink ref="Z800" r:id="rId113" xr:uid="{021AAD87-964F-48B7-9AEC-9135C6EE1C12}"/>
    <hyperlink ref="Z801" r:id="rId114" xr:uid="{C123709D-BD74-4712-9838-FC7FC95910BF}"/>
    <hyperlink ref="Z778" r:id="rId115" xr:uid="{E678948F-8B47-4D87-8E52-1678BDBF014A}"/>
    <hyperlink ref="Z779" r:id="rId116" xr:uid="{3431DBA5-DBE9-4638-B7D1-69CC60C9F9BA}"/>
    <hyperlink ref="Z780" r:id="rId117" xr:uid="{253466D9-1B23-4BFD-9FBD-A3FF7158129D}"/>
    <hyperlink ref="Z781" r:id="rId118" xr:uid="{8234DE82-BCE4-4A4B-A1C9-555EC57A0851}"/>
    <hyperlink ref="Z782" r:id="rId119" xr:uid="{DDC47FC2-2B58-44D3-A6E7-068E6254E2EC}"/>
    <hyperlink ref="Z783" r:id="rId120" xr:uid="{E864512F-910A-4737-AAF0-099E59CAC90A}"/>
    <hyperlink ref="Z784" r:id="rId121" xr:uid="{204F6853-2AC5-41AB-86A1-22051D809C2C}"/>
    <hyperlink ref="Z785" r:id="rId122" xr:uid="{6419CEA4-5709-4163-B3AE-B0477CD93533}"/>
    <hyperlink ref="Z786" r:id="rId123" xr:uid="{5FA886BF-A971-4419-9C68-2C50F6B523A2}"/>
    <hyperlink ref="Z787" r:id="rId124" xr:uid="{393C73B7-E766-4C7A-B9F3-D25502EBC9FE}"/>
    <hyperlink ref="Z788" r:id="rId125" xr:uid="{FBDA71C3-9E5D-419C-A53E-B39BC0041EDF}"/>
    <hyperlink ref="Z789" r:id="rId126" xr:uid="{DF7D88CB-1B47-4186-A4CE-6085B6520E56}"/>
    <hyperlink ref="Z790" r:id="rId127" xr:uid="{659B9553-4317-4F86-86C8-BA3C20B72B80}"/>
    <hyperlink ref="Z791" r:id="rId128" xr:uid="{77D6D82B-438F-4E7C-A41C-3D1DD44047CC}"/>
    <hyperlink ref="Z792" r:id="rId129" xr:uid="{21BC5186-EDDB-4862-B216-7A9149B8F5CC}"/>
    <hyperlink ref="Z793" r:id="rId130" xr:uid="{C82C10CF-E36A-4761-8876-F644882D71D9}"/>
    <hyperlink ref="Z794" r:id="rId131" xr:uid="{1D7DE92F-7E4F-45BB-AA46-939103A0BC41}"/>
    <hyperlink ref="Z795" r:id="rId132" xr:uid="{24FC44CB-7EF5-44F2-9D3E-985AEAAFF7F1}"/>
    <hyperlink ref="Z796" r:id="rId133" xr:uid="{04EA7CA6-EB03-4DC9-9E8F-75AD6C477CDE}"/>
    <hyperlink ref="Z797" r:id="rId134" xr:uid="{C4654B4B-BF06-4817-8CA0-2411B39E4538}"/>
    <hyperlink ref="Z774" r:id="rId135" xr:uid="{57F9FC8D-2D08-487C-87FC-715435149AC9}"/>
    <hyperlink ref="Z802" r:id="rId136" xr:uid="{2D61EDB3-44E9-4ACF-8528-C8CAC0633DC4}"/>
    <hyperlink ref="Z775" r:id="rId137" xr:uid="{281C83B0-D6E9-42D4-BD5E-02FF8587F54B}"/>
    <hyperlink ref="Z776" r:id="rId138" xr:uid="{55337A84-A7CA-4C51-B614-1BDEA39DD3C1}"/>
    <hyperlink ref="Z777" r:id="rId139" xr:uid="{3A7C6737-A652-45B0-ACB2-B6C52E1B4CB2}"/>
    <hyperlink ref="Z208" r:id="rId140" xr:uid="{EAE45C29-BD22-475E-A3F7-1C391F2A5977}"/>
    <hyperlink ref="Z348" r:id="rId141" xr:uid="{2C921D1F-CA9C-49C8-BB29-423C97DF69EF}"/>
    <hyperlink ref="Z385" r:id="rId142" xr:uid="{6ECB82E4-2E30-4B86-AE0F-64A1B6B48F9F}"/>
    <hyperlink ref="Z406" r:id="rId143" xr:uid="{B5C06FC1-8620-40E0-AA6D-A30D154FB143}"/>
    <hyperlink ref="Z520" r:id="rId144" xr:uid="{A6239312-D288-410D-A543-A9929CE9635B}"/>
    <hyperlink ref="Z864" r:id="rId145" xr:uid="{9A17652C-A656-41B8-A2D8-E6EFDA86D953}"/>
    <hyperlink ref="Z426" r:id="rId146" xr:uid="{1A3BD2B2-927B-43F0-BF5C-6F7934E32F18}"/>
    <hyperlink ref="Z454" r:id="rId147" xr:uid="{5316A40D-F790-4908-9E93-0B3D04E46A99}"/>
    <hyperlink ref="Z427" r:id="rId148" xr:uid="{7CB92A49-F964-42AC-BE98-07ACC2B0E767}"/>
    <hyperlink ref="Z428" r:id="rId149" xr:uid="{92FB55AE-C0D5-41DC-9E94-E7118DF6F5B5}"/>
    <hyperlink ref="Z429" r:id="rId150" xr:uid="{FD87A641-27C2-4840-BE5F-29BE6CFC82C2}"/>
    <hyperlink ref="Z430" r:id="rId151" xr:uid="{34A1E3EC-596D-437B-9919-F2DD1628488D}"/>
    <hyperlink ref="Z431" r:id="rId152" xr:uid="{A365FA24-83F0-424A-BCA0-B3C1C99D0102}"/>
    <hyperlink ref="Z432" r:id="rId153" xr:uid="{8B7FFA2C-2DC1-4960-9EC5-B9DE1B5B847A}"/>
    <hyperlink ref="Z433" r:id="rId154" xr:uid="{4B66F020-9DA0-4361-9FCC-23C6101AC1CB}"/>
    <hyperlink ref="Z434" r:id="rId155" xr:uid="{B592E2FE-FDCE-49A1-B740-23910AE26AB4}"/>
    <hyperlink ref="Z435" r:id="rId156" xr:uid="{97EE0B4C-B76A-427C-A8C8-FE1FF2946814}"/>
    <hyperlink ref="Z436" r:id="rId157" xr:uid="{28F5162D-68DE-4B48-B3FD-FB3226345FD9}"/>
    <hyperlink ref="Z437" r:id="rId158" xr:uid="{A5DCEDE8-CD5D-48FF-9974-45EA3CA18728}"/>
    <hyperlink ref="Z438" r:id="rId159" xr:uid="{3A1DC6B2-B1DF-4B5D-A422-75A044E354E9}"/>
    <hyperlink ref="Z439" r:id="rId160" xr:uid="{BDCC4B58-DF30-45FE-9FEF-B2C318839E9B}"/>
    <hyperlink ref="Z440" r:id="rId161" xr:uid="{4E03BC76-5F3B-443A-AE35-E775E6E902D3}"/>
    <hyperlink ref="Z441" r:id="rId162" xr:uid="{2475690A-07F6-40E0-A8FC-AF110780C26C}"/>
    <hyperlink ref="Z442" r:id="rId163" xr:uid="{A37EBE5C-896E-415B-A72F-90FFD2A216F1}"/>
    <hyperlink ref="Z443" r:id="rId164" xr:uid="{6D4A0D9E-C0F3-4578-9351-B77E6F1A3B4F}"/>
    <hyperlink ref="Z444" r:id="rId165" xr:uid="{2D362159-237D-4537-81F3-2A64F6E1CC4F}"/>
    <hyperlink ref="Z445" r:id="rId166" xr:uid="{969B3702-C422-42F8-96C6-812A4337EA77}"/>
    <hyperlink ref="Z446" r:id="rId167" xr:uid="{2E702542-F7BA-433B-966F-D498E3C659E2}"/>
    <hyperlink ref="Z447" r:id="rId168" xr:uid="{E528F53D-306A-4212-9A88-49F913BE1BAC}"/>
    <hyperlink ref="Z448" r:id="rId169" xr:uid="{D27DB624-25BC-4E84-B8B7-4D0519D32204}"/>
    <hyperlink ref="Z449" r:id="rId170" xr:uid="{713B0AF6-CB53-447C-BFCA-A9F625B739D6}"/>
    <hyperlink ref="Z450" r:id="rId171" xr:uid="{FE0CA7CA-75F4-4DCA-ABC0-772F7CD0BE7E}"/>
    <hyperlink ref="Z451" r:id="rId172" xr:uid="{2C2E5717-6CA3-4E4C-BAC9-261272092B34}"/>
    <hyperlink ref="Z452" r:id="rId173" xr:uid="{BEC11111-276E-4640-809B-BA78E90E05CE}"/>
    <hyperlink ref="Z453" r:id="rId174" xr:uid="{59BF2D70-F783-4FAD-9BD4-52CB8EC4BBBD}"/>
    <hyperlink ref="Z455" r:id="rId175" xr:uid="{DA159766-6D68-46C7-94C3-0BB67826A125}"/>
    <hyperlink ref="Z456" r:id="rId176" xr:uid="{6B4FCEE7-D606-409E-ABFC-C40AB1FD099A}"/>
    <hyperlink ref="Z457" r:id="rId177" xr:uid="{3886850A-AA3E-4109-B8A9-5A4797B2EEDF}"/>
    <hyperlink ref="Z458" r:id="rId178" xr:uid="{1C0F4824-E1F2-45BE-BA9F-C17E498CCA17}"/>
    <hyperlink ref="Z459" r:id="rId179" xr:uid="{1303DC5E-D429-4F25-BD5B-89382E0D8B7C}"/>
    <hyperlink ref="Z460" r:id="rId180" xr:uid="{D258C974-B77F-47EB-BADE-70CAB59098D8}"/>
    <hyperlink ref="Z461" r:id="rId181" xr:uid="{04F80ECF-12CD-4899-A68E-8CA948D4F850}"/>
    <hyperlink ref="Z462" r:id="rId182" xr:uid="{84747954-F03C-4AC2-8F3D-D69495023EF9}"/>
    <hyperlink ref="Z463" r:id="rId183" xr:uid="{18319269-C7CD-4F67-B51E-7CE4CFF88C20}"/>
    <hyperlink ref="Z464" r:id="rId184" xr:uid="{D646D2FE-ADF3-4D4D-9183-0387E73EC792}"/>
    <hyperlink ref="Z465" r:id="rId185" xr:uid="{CAAD6586-DC6D-42FB-9421-63F2B99552E2}"/>
    <hyperlink ref="Z466" r:id="rId186" xr:uid="{5547BD2C-988C-4C31-9D8B-14528E1BEEED}"/>
    <hyperlink ref="Z467" r:id="rId187" xr:uid="{5B4F7641-3ECD-4691-8993-8F87510D82D8}"/>
    <hyperlink ref="Z468" r:id="rId188" xr:uid="{A5594140-D773-4879-837A-B947E9E85D2A}"/>
    <hyperlink ref="Z469" r:id="rId189" xr:uid="{F7986D22-8FAE-4DAD-AB29-8DA2FEF96148}"/>
    <hyperlink ref="Z470" r:id="rId190" xr:uid="{D316DE29-2437-41A9-826B-5A1D1926C4E0}"/>
    <hyperlink ref="Z471" r:id="rId191" xr:uid="{4756C158-907E-4F6F-84A7-2C06C286E9AB}"/>
    <hyperlink ref="Z472" r:id="rId192" xr:uid="{81E7976E-1EFA-4EA3-8DC4-0B8D67DA3010}"/>
    <hyperlink ref="Z473" r:id="rId193" xr:uid="{7CE775B1-26C9-4DDC-B78E-2286F035F1AF}"/>
    <hyperlink ref="Z474" r:id="rId194" xr:uid="{2F6B36F8-8984-48C1-B482-E3860D120A36}"/>
    <hyperlink ref="Z475" r:id="rId195" xr:uid="{38FA0DD6-B47B-4994-B282-043A3CD72412}"/>
    <hyperlink ref="Z476" r:id="rId196" xr:uid="{8FDE282A-D9BD-43CC-88B6-F1CE3007CE06}"/>
    <hyperlink ref="Z477" r:id="rId197" xr:uid="{45AFE282-1126-4030-A50E-64FD6ED340F8}"/>
    <hyperlink ref="Z478" r:id="rId198" xr:uid="{43FD686D-B91A-4BA1-8D05-7F3939E8A598}"/>
    <hyperlink ref="Z479" r:id="rId199" xr:uid="{BD803FCE-F163-4706-8812-1505C333BB2F}"/>
    <hyperlink ref="Z480" r:id="rId200" xr:uid="{0D6BE869-90BE-4A59-8E0D-5A8957C1398B}"/>
    <hyperlink ref="Z481" r:id="rId201" xr:uid="{0D2B51FD-0AAB-4913-89E3-D3EB81CB59C9}"/>
    <hyperlink ref="Z482" r:id="rId202" xr:uid="{F56B38E7-8E20-4639-994F-F6C6344B53DE}"/>
    <hyperlink ref="Z483" r:id="rId203" xr:uid="{81A1D832-D7C4-4A6E-8792-94AE821A258E}"/>
    <hyperlink ref="Z484" r:id="rId204" xr:uid="{822735FE-CACB-4D70-A929-BF6975218806}"/>
    <hyperlink ref="Z485" r:id="rId205" xr:uid="{7EFEC41B-7E2E-47E8-BAAF-D98469B65C8D}"/>
    <hyperlink ref="Z399" r:id="rId206" xr:uid="{0D0AEF43-342A-4615-81FC-47639BA1B006}"/>
    <hyperlink ref="Z398" r:id="rId207" xr:uid="{3868DFD3-81B1-4722-A0C8-FBE3D14C8AD3}"/>
    <hyperlink ref="Z803" r:id="rId208" xr:uid="{A7EC0B79-23AE-461B-A50D-42FD6BDF86A8}"/>
    <hyperlink ref="Z804" r:id="rId209" xr:uid="{F25EE53F-2B6E-47A3-8EEA-394C1CDAB79D}"/>
    <hyperlink ref="Z210" r:id="rId210" xr:uid="{278282CC-634B-4AA3-B481-3F6668B3C6EC}"/>
    <hyperlink ref="Z865" r:id="rId211" xr:uid="{F3A86B48-DFAB-43D2-A991-F3FEA2B5B117}"/>
    <hyperlink ref="Z40" r:id="rId212" xr:uid="{315169F7-8AFD-41C4-A3EF-E71281642FF0}"/>
    <hyperlink ref="Z805" r:id="rId213" xr:uid="{66FD8BC6-204A-4AFC-9ED8-ED796E9D4D54}"/>
    <hyperlink ref="Z24" r:id="rId214" xr:uid="{D81998A1-A705-4663-B338-BFA774437BE6}"/>
    <hyperlink ref="Z376" r:id="rId215" xr:uid="{8653DD64-49FA-4699-AC6E-AA6936FB1AA8}"/>
    <hyperlink ref="Z51" r:id="rId216" xr:uid="{C35E653A-E951-45B3-B288-6A4B88134F3B}"/>
    <hyperlink ref="Z511" r:id="rId217" xr:uid="{1C5C297C-BFE4-43F5-AFF9-3C94F4388CB7}"/>
    <hyperlink ref="Z510" r:id="rId218" xr:uid="{88A902CF-8E8B-4112-9B02-7A74D87DE548}"/>
    <hyperlink ref="Z806" r:id="rId219" xr:uid="{93D3D044-468A-437F-B3B2-4944275D6BC5}"/>
    <hyperlink ref="Z862" r:id="rId220" xr:uid="{0FC1FA99-8DDD-4CD7-8E72-718E2D2D5AA7}"/>
    <hyperlink ref="Z211" r:id="rId221" xr:uid="{088F00B0-8BAB-464E-B164-743D47776EC9}"/>
    <hyperlink ref="Z550" r:id="rId222" xr:uid="{108AC38B-940A-4D49-A5E2-A86C323153EB}"/>
    <hyperlink ref="Z552" r:id="rId223" xr:uid="{08A5F817-A901-438C-B0CF-57A76D84F1CC}"/>
    <hyperlink ref="Z537" r:id="rId224" xr:uid="{56011D14-2D56-4D1E-B4BF-7638FBAB3CD2}"/>
    <hyperlink ref="Z563" r:id="rId225" xr:uid="{BEEEBDC9-F7C1-431B-B87A-A9316A871B58}"/>
    <hyperlink ref="Z559" r:id="rId226" xr:uid="{2002EC0C-A43D-4831-AEAE-3B2C2CB03A06}"/>
    <hyperlink ref="Z560" r:id="rId227" xr:uid="{852C8F9F-6679-49D9-BFF2-2D1E38E165DC}"/>
    <hyperlink ref="Z561" r:id="rId228" xr:uid="{D727DB43-606A-4EBB-BA7C-6EA62832A60D}"/>
    <hyperlink ref="Z562" r:id="rId229" xr:uid="{D97AE2C3-66C2-40D8-A835-B37F7AB87DFE}"/>
    <hyperlink ref="Z564" r:id="rId230" xr:uid="{2CE7E408-58BA-44E6-88D1-F1A5632B77D7}"/>
    <hyperlink ref="Z807" r:id="rId231" xr:uid="{B43AB0D4-50FB-4AF5-AE20-223132B924C9}"/>
    <hyperlink ref="Z808" r:id="rId232" xr:uid="{0712F9DE-FE95-4B56-AE1C-3A28A89E7102}"/>
    <hyperlink ref="Z809" r:id="rId233" xr:uid="{2D0C7E7E-B47B-4D13-B732-FF1B625CC3A4}"/>
    <hyperlink ref="Z810" r:id="rId234" xr:uid="{BFA3DD22-2FAE-42EA-AE85-AC6BD06DFBFC}"/>
    <hyperlink ref="Z811" r:id="rId235" xr:uid="{04C5A80D-06BB-431E-A2B6-B4B55D5086E2}"/>
    <hyperlink ref="Z623" r:id="rId236" xr:uid="{E85B609D-8153-4FBF-8EDB-AB9C6D9CC934}"/>
    <hyperlink ref="Z638" r:id="rId237" xr:uid="{CFBCB4AB-DB4B-4383-B9B7-B09215CCE2E2}"/>
    <hyperlink ref="Z611" r:id="rId238" xr:uid="{49BC2A00-D7E8-4B51-9C1B-E3492BD8C83F}"/>
    <hyperlink ref="Z812" r:id="rId239" xr:uid="{135D7487-EB9C-4890-B1D3-6E9997CBF7BF}"/>
    <hyperlink ref="Z813" r:id="rId240" xr:uid="{12F4CCB5-46B4-4A93-985A-4D740A11BC29}"/>
    <hyperlink ref="Z289" r:id="rId241" display="sandra.contreras@mininterior.gov.co" xr:uid="{D81121A8-9F8A-47F9-BE3A-A36EA8A98550}"/>
    <hyperlink ref="Z554" r:id="rId242" xr:uid="{8387971E-6851-458D-8802-A7FA2DF33FBD}"/>
    <hyperlink ref="Z553" r:id="rId243" xr:uid="{9EE6A5FF-DFC0-485E-B17D-49F119730D86}"/>
    <hyperlink ref="Z814" r:id="rId244" xr:uid="{E77F77C4-EF10-4D67-848A-B2AD62B2F0E6}"/>
    <hyperlink ref="Z815" r:id="rId245" xr:uid="{B5410A20-1317-4266-ABEA-E4B576C3A2CB}"/>
    <hyperlink ref="Z816" r:id="rId246" xr:uid="{7CC18509-AAF5-42CF-9668-83FADC38C5E9}"/>
    <hyperlink ref="Z817" r:id="rId247" xr:uid="{4EBE1A9B-1ECF-453A-8D3A-3F9DE95E0C4A}"/>
    <hyperlink ref="Z818" r:id="rId248" xr:uid="{A038148C-422B-4715-AD76-1277D6D6CEAF}"/>
    <hyperlink ref="Z819" r:id="rId249" xr:uid="{51ECE8CC-5B28-4076-B43C-EBA561D9C489}"/>
    <hyperlink ref="Z820" r:id="rId250" xr:uid="{015CE8CA-7F59-44D2-AF32-FF437A3F8D13}"/>
    <hyperlink ref="Z821" r:id="rId251" xr:uid="{81A2A956-FBA9-4A6B-984B-129C08576020}"/>
    <hyperlink ref="Z822" r:id="rId252" xr:uid="{79BC7CC6-526B-40BF-B89F-C7DB41673522}"/>
    <hyperlink ref="Z828" r:id="rId253" xr:uid="{9DE4499D-1AE6-45E2-8E9B-F148F588E65D}"/>
    <hyperlink ref="Z827" r:id="rId254" xr:uid="{F4E0EAAC-927B-4D17-A82E-A32FA8D91C8D}"/>
    <hyperlink ref="Z826" r:id="rId255" xr:uid="{FFE3F43F-AE01-4D7A-878D-B9AB541229D7}"/>
    <hyperlink ref="Z825" r:id="rId256" xr:uid="{3F798FAB-CBA7-4F5F-8794-6DDCD487E682}"/>
    <hyperlink ref="Z824" r:id="rId257" xr:uid="{F468528E-E7EB-40F1-ACBD-100CB867C41E}"/>
    <hyperlink ref="Z823" r:id="rId258" xr:uid="{B78A600D-ECCD-4938-96A0-55F49368500F}"/>
    <hyperlink ref="Z829" r:id="rId259" xr:uid="{E3A0A798-1E42-4C18-9215-C9286001C302}"/>
    <hyperlink ref="Z652" r:id="rId260" xr:uid="{C5BADB00-7703-4B51-B3C0-4B52AF9E9E1C}"/>
    <hyperlink ref="Z830" r:id="rId261" xr:uid="{E6FD1769-E8B3-49F8-8F20-3658F6FD5A53}"/>
    <hyperlink ref="Z831" r:id="rId262" xr:uid="{FFE69E61-165A-489D-8367-E9C9C0C28837}"/>
    <hyperlink ref="Z663" r:id="rId263" xr:uid="{E3DC1EA4-8C82-41C4-BD5F-07177AABAB94}"/>
    <hyperlink ref="Z400" r:id="rId264" xr:uid="{7324F17D-D394-41F7-910C-8410EF83F15A}"/>
    <hyperlink ref="Z384" r:id="rId265" display="sandra.contreras@mininterior.gov.co" xr:uid="{B4CC65AA-E823-4C38-9D14-390D3E6F6EB1}"/>
    <hyperlink ref="Z216" r:id="rId266" xr:uid="{7687BB5B-5FA8-432F-9BAC-8B719295A5BD}"/>
    <hyperlink ref="Z217" r:id="rId267" xr:uid="{4F1D4D73-4E6A-46FA-AA61-558EA5F1EBD2}"/>
    <hyperlink ref="Z218" r:id="rId268" xr:uid="{BE842233-1ED2-4379-B354-6DC56409B8F7}"/>
    <hyperlink ref="Z230" r:id="rId269" xr:uid="{80BEE369-62A8-4DE0-94FB-2475A5DA37FD}"/>
    <hyperlink ref="Z236" r:id="rId270" xr:uid="{5EA1DBE7-BF88-46EA-8CED-90A384AF4A48}"/>
    <hyperlink ref="Z242" r:id="rId271" xr:uid="{9BF669C9-E0B7-4942-91EF-AFFC1C2D9046}"/>
    <hyperlink ref="Z243" r:id="rId272" xr:uid="{6AFEF026-0A02-42BE-AA6D-C7A4D7DDEDDF}"/>
    <hyperlink ref="Z248" r:id="rId273" xr:uid="{353A0D8E-CB1D-404C-B700-7616AAE185F5}"/>
    <hyperlink ref="Z260" r:id="rId274" xr:uid="{1A3030C7-1F73-4FF3-A231-37509F7C2ED3}"/>
    <hyperlink ref="Z261" r:id="rId275" xr:uid="{2D7FF4E9-F58B-48C1-83C1-2F9BE51AFA72}"/>
    <hyperlink ref="Z219" r:id="rId276" xr:uid="{7FE7C710-9074-4517-828C-AA771FCFB5BD}"/>
    <hyperlink ref="Z214:Z215" r:id="rId277" display="diana.vivas@mininterior.gov.co" xr:uid="{208A795E-1D31-4D90-AAA3-88CD86ED3A82}"/>
    <hyperlink ref="Z229" r:id="rId278" xr:uid="{83F59BDE-DC9F-485F-8C5E-9E47D0D90EDB}"/>
    <hyperlink ref="Z235" r:id="rId279" xr:uid="{7D2936A3-9999-48B2-8ABE-D87FB98DF132}"/>
    <hyperlink ref="Z234:Z235" r:id="rId280" display="diana.vivas@mininterior.gov.co" xr:uid="{C0764F5B-3D2F-4B30-AF92-39A008624FE0}"/>
    <hyperlink ref="Z249" r:id="rId281" xr:uid="{0CBAB131-90BF-4622-AE5C-66DECF017990}"/>
    <hyperlink ref="Z246:Z247" r:id="rId282" display="diana.vivas@mininterior.gov.co" xr:uid="{18C7BBDD-DFB0-4879-BC4C-734BA8B1EED6}"/>
    <hyperlink ref="Z259:Z261" r:id="rId283" display="diana.vivas@mininterior.gov.co" xr:uid="{2AA0C6B1-BA64-428A-A97E-D26FBCF21DF0}"/>
    <hyperlink ref="Z283" r:id="rId284" xr:uid="{F17D786C-CE28-450C-BCAB-88F6B046A605}"/>
    <hyperlink ref="Z664" r:id="rId285" xr:uid="{C494BF52-1EC1-4496-8CC8-9A55A184559C}"/>
    <hyperlink ref="Z667" r:id="rId286" xr:uid="{9BC58416-B85E-4DF9-AE6E-4A4501AEA3E1}"/>
    <hyperlink ref="Z55" r:id="rId287" xr:uid="{F07D5320-1F6C-41C7-817C-E51ED935A72F}"/>
    <hyperlink ref="Z60" r:id="rId288" xr:uid="{1C2F9C77-131A-44B5-A7BB-BCE307C8AA04}"/>
    <hyperlink ref="Z56" r:id="rId289" xr:uid="{FC6E9CD5-B6E0-4B7F-A35F-39300373650D}"/>
    <hyperlink ref="Z62" r:id="rId290" xr:uid="{02EDB315-287D-46C9-8A6D-20367E40D95C}"/>
    <hyperlink ref="Z63" r:id="rId291" xr:uid="{B4854985-0498-43BE-A095-B35165B28DBC}"/>
    <hyperlink ref="Z64" r:id="rId292" xr:uid="{77470345-917B-4F32-A9FA-17866521EEA0}"/>
    <hyperlink ref="Z65" r:id="rId293" xr:uid="{8CA343BB-7E24-493D-8289-68C6E6D7853E}"/>
    <hyperlink ref="Z66" r:id="rId294" xr:uid="{20F2FD65-18BA-4077-B675-782D48DE7C4A}"/>
    <hyperlink ref="Z68" r:id="rId295" xr:uid="{2BB3E457-EA54-4D4A-AD6E-14E3267D39AB}"/>
    <hyperlink ref="Z70" r:id="rId296" xr:uid="{631FB307-F694-48AF-8490-B5C259A4D8E6}"/>
    <hyperlink ref="Z71" r:id="rId297" xr:uid="{83260D15-F64B-488D-8028-C2921F206735}"/>
    <hyperlink ref="Z72" r:id="rId298" xr:uid="{E40FC98B-31FA-443F-862A-53CD9C961C7E}"/>
    <hyperlink ref="Z73" r:id="rId299" xr:uid="{9E37F17D-9644-41BC-B992-DD621E1719CA}"/>
    <hyperlink ref="Z75" r:id="rId300" xr:uid="{17665AA9-00DF-4900-B4A8-B773F4F06F73}"/>
    <hyperlink ref="Z76" r:id="rId301" xr:uid="{57825106-1417-4817-9912-2B750D4F9E65}"/>
    <hyperlink ref="Z77" r:id="rId302" xr:uid="{67765595-3DBE-41A6-AF1C-BA761DE5FC0B}"/>
    <hyperlink ref="Z78" r:id="rId303" xr:uid="{43D7B3E5-A497-4DDA-9EBC-CFBF4F81001E}"/>
    <hyperlink ref="Z79" r:id="rId304" xr:uid="{EE0B34B7-3A88-4801-AC69-DEAF885F82D0}"/>
    <hyperlink ref="Z80" r:id="rId305" xr:uid="{E2B17556-529B-4E32-9683-71C988D26968}"/>
    <hyperlink ref="Z81" r:id="rId306" xr:uid="{188FD2A6-B4C2-4294-80B1-930DD54C150B}"/>
    <hyperlink ref="Z82" r:id="rId307" xr:uid="{BC889311-15B7-4994-8254-CBD4B4E42DB4}"/>
    <hyperlink ref="Z83" r:id="rId308" xr:uid="{A8759D03-921A-4444-95C5-67F2F02790F6}"/>
    <hyperlink ref="Z84" r:id="rId309" xr:uid="{03418DD1-EA50-4918-B4BC-95EF4FA57F6D}"/>
    <hyperlink ref="Z85" r:id="rId310" xr:uid="{BD23D26E-CA2D-4781-8F62-6B7FA37C03F8}"/>
    <hyperlink ref="Z86" r:id="rId311" xr:uid="{A4737824-9CB4-449D-BDBA-B1B9F5FF56BB}"/>
    <hyperlink ref="Z87" r:id="rId312" xr:uid="{116F11D1-A541-4CD0-9B82-B22FE1206A45}"/>
    <hyperlink ref="Z88" r:id="rId313" xr:uid="{A7BA19D8-5F72-4A0E-8B3F-44EC69D809FF}"/>
    <hyperlink ref="Z89" r:id="rId314" xr:uid="{B6F5C2DC-57E1-477B-84A7-F7A3CBE39D60}"/>
    <hyperlink ref="Z90" r:id="rId315" xr:uid="{7C4FD6A6-2190-4B41-89A4-B6CE6263D577}"/>
    <hyperlink ref="Z91" r:id="rId316" xr:uid="{7B62F67D-2059-466E-82A6-F622408B8B10}"/>
    <hyperlink ref="Z97" r:id="rId317" xr:uid="{84CB6294-E533-4FE7-BFC6-1B726F5B4B40}"/>
    <hyperlink ref="Z98" r:id="rId318" xr:uid="{39C8492B-5252-4C11-9A9B-C4EF261F1F02}"/>
    <hyperlink ref="Z99" r:id="rId319" xr:uid="{CE21C900-0F35-41B5-A151-ED289A5CDD72}"/>
    <hyperlink ref="Z100" r:id="rId320" xr:uid="{BDC89CE7-2A9D-4C46-8006-AFA76429A2D9}"/>
    <hyperlink ref="Z101" r:id="rId321" xr:uid="{592458F2-0149-42A0-B558-097FA8B77FA3}"/>
    <hyperlink ref="Z102" r:id="rId322" xr:uid="{8F6D89CB-C671-4310-BDF6-ECCC46A06D78}"/>
    <hyperlink ref="Z103" r:id="rId323" xr:uid="{012B5494-F0C6-4BE9-85C3-4113591F9E05}"/>
    <hyperlink ref="Z104" r:id="rId324" xr:uid="{D9965848-1F06-492C-8EF8-5A8601626447}"/>
    <hyperlink ref="Z105" r:id="rId325" xr:uid="{2A7E2969-7F65-4C3D-9BE9-E4D20CC4AC46}"/>
    <hyperlink ref="Z425" r:id="rId326" xr:uid="{6AA36E1D-41AF-4F63-8EAE-475779E88EDE}"/>
    <hyperlink ref="Z556" r:id="rId327" xr:uid="{1CAD6AE5-BFA4-4266-8B71-1F6A0C3E9861}"/>
    <hyperlink ref="Z529" r:id="rId328" xr:uid="{93C3626E-B44C-4931-B09C-F54DE53A83D7}"/>
    <hyperlink ref="Z531" r:id="rId329" xr:uid="{7AFE2EBE-8338-4833-9C36-5BE8B5171AAC}"/>
    <hyperlink ref="Z538" r:id="rId330" xr:uid="{BF4DE503-7948-4F7C-84EC-A114E1D8099D}"/>
    <hyperlink ref="Z551" r:id="rId331" xr:uid="{1267CA99-007C-46F1-B25B-AFFDADCD01A5}"/>
    <hyperlink ref="Z555" r:id="rId332" xr:uid="{12E6BE87-ACB4-4F5A-BD5E-1261B1074B86}"/>
    <hyperlink ref="Z180" r:id="rId333" xr:uid="{9546916A-9AAC-4C13-BDC6-F790CF950326}"/>
    <hyperlink ref="Z184" r:id="rId334" xr:uid="{FBB16BAF-676D-4DD7-A32E-C3C81843175D}"/>
    <hyperlink ref="Z190" r:id="rId335" xr:uid="{DB81E3FA-AF54-4F59-BEAC-79D37F67F915}"/>
    <hyperlink ref="Z486" r:id="rId336" xr:uid="{23EF6DE6-E652-426D-A2F1-56F9347DD4D1}"/>
    <hyperlink ref="Z487" r:id="rId337" xr:uid="{B5B92F81-E315-491F-A959-D85000F649B0}"/>
    <hyperlink ref="Z488" r:id="rId338" xr:uid="{DC38B9D3-DF3A-4FC0-ACA7-B2E9A9534215}"/>
    <hyperlink ref="Z489" r:id="rId339" xr:uid="{4D01E3D7-B231-40A2-B134-48F5DEC65A17}"/>
    <hyperlink ref="Z490" r:id="rId340" xr:uid="{274AD95E-99DB-4CF6-A2AE-851E3576FA2D}"/>
    <hyperlink ref="Z491" r:id="rId341" xr:uid="{CA29C000-614E-4E4F-8FB9-8F4CF2043C79}"/>
    <hyperlink ref="Z492" r:id="rId342" xr:uid="{E1D64B28-A07D-4EE3-8750-E78677492337}"/>
    <hyperlink ref="Z493" r:id="rId343" xr:uid="{85A0C9F6-1742-4885-9AE5-FF1FC250C165}"/>
    <hyperlink ref="Z494" r:id="rId344" xr:uid="{64B7B6A8-AB8D-45FD-8444-3A9E55BE9B7C}"/>
    <hyperlink ref="Z495" r:id="rId345" xr:uid="{55812739-E223-4843-AB29-82558AB43477}"/>
    <hyperlink ref="Z496" r:id="rId346" xr:uid="{762D7C6C-87F9-4180-9DAA-0B8DF441DBAB}"/>
    <hyperlink ref="Z497" r:id="rId347" xr:uid="{B928822D-E495-4CF2-8124-EDB98498FA85}"/>
    <hyperlink ref="Z498" r:id="rId348" xr:uid="{CE253D13-1561-4701-9A47-E88DB71761BA}"/>
    <hyperlink ref="Z499" r:id="rId349" xr:uid="{A6D3269D-C790-4D98-A344-ACFEBCB1C997}"/>
    <hyperlink ref="Z500" r:id="rId350" xr:uid="{81088C2B-3AC1-4928-97CB-DCD32357C21F}"/>
    <hyperlink ref="Z501" r:id="rId351" xr:uid="{1A3BD535-52CC-477F-9B00-04C6ECCF61FD}"/>
    <hyperlink ref="Z502" r:id="rId352" xr:uid="{D85C9FCE-C269-4E84-B988-A18724A5BF9E}"/>
    <hyperlink ref="Z503" r:id="rId353" xr:uid="{9E959C83-1445-454B-9AA9-90AC6544EA3E}"/>
    <hyperlink ref="Z504" r:id="rId354" xr:uid="{451081A2-375A-4ACB-B621-FEDCE8D86381}"/>
    <hyperlink ref="Z505" r:id="rId355" xr:uid="{0E75DFF1-5C08-48D8-86D7-FC0EA141D627}"/>
    <hyperlink ref="Z506" r:id="rId356" xr:uid="{5DA690E0-B72A-4008-8382-9473F06E91E9}"/>
    <hyperlink ref="Z507" r:id="rId357" xr:uid="{1CC39AD8-061A-4BE6-9DD9-D0AD5388639C}"/>
    <hyperlink ref="Z508" r:id="rId358" xr:uid="{45D1F54C-537B-4FF9-AC9D-7A2D32FCB6BC}"/>
    <hyperlink ref="Z509" r:id="rId359" xr:uid="{3B316BF0-3460-42D8-B717-7A2A8F1DB9C2}"/>
    <hyperlink ref="Z522" r:id="rId360" display="eliecer.ortiz@mininterior.gov.co" xr:uid="{A53D2490-3E98-4B4B-A7CF-B806C803F387}"/>
    <hyperlink ref="Z558" r:id="rId361" xr:uid="{63B481EA-E265-40A0-B357-AECA933D6C84}"/>
    <hyperlink ref="Z861" r:id="rId362" xr:uid="{A8C814DF-D7AA-4ACB-8CCF-E6E53E0A299A}"/>
    <hyperlink ref="Z107" r:id="rId363" xr:uid="{6229C51F-8E02-429B-A671-752F92BC1E3F}"/>
    <hyperlink ref="Z111" r:id="rId364" xr:uid="{261EB87D-88D0-490E-98D4-FA6C536F7F5C}"/>
    <hyperlink ref="Z116" r:id="rId365" xr:uid="{DC5FF690-0D0D-4854-8CDD-53C009EFEAF8}"/>
    <hyperlink ref="Z117" r:id="rId366" xr:uid="{AD4386DD-54F5-4D76-980D-72F2F04CE94B}"/>
    <hyperlink ref="Z124" r:id="rId367" xr:uid="{A4DA0A1E-C12A-4330-9E95-2744DBBB732B}"/>
    <hyperlink ref="Z125" r:id="rId368" xr:uid="{483378F6-A00C-4561-9311-DD829FD94684}"/>
    <hyperlink ref="Z139" r:id="rId369" xr:uid="{AFD18D62-BDB1-46A5-AAF7-10F5AB9CE7DC}"/>
    <hyperlink ref="Z153" r:id="rId370" xr:uid="{4341BF49-ECE6-4650-9907-F63EE082CFA1}"/>
    <hyperlink ref="Z154" r:id="rId371" xr:uid="{02CC71DA-DC83-4EBD-A169-1CFB1168E46C}"/>
    <hyperlink ref="Z155" r:id="rId372" xr:uid="{93E674B3-40AF-448E-9EA2-5A3E3739BEA3}"/>
    <hyperlink ref="Z156" r:id="rId373" xr:uid="{2FA9BC91-CEC8-4AC2-8955-5B76A0CCF984}"/>
    <hyperlink ref="Z160" r:id="rId374" xr:uid="{69A02F5F-12C0-44A9-96AF-8C30E53422FC}"/>
    <hyperlink ref="Z161" r:id="rId375" xr:uid="{01C56C51-FDAA-4C05-B1CA-97E6D8559B0B}"/>
    <hyperlink ref="Z163" r:id="rId376" xr:uid="{D17B1BC1-DBEF-4A43-B205-C5F6A55A207E}"/>
    <hyperlink ref="Z164" r:id="rId377" xr:uid="{E5B8692B-8DC7-4B1E-9B7C-CEF32F3335BA}"/>
    <hyperlink ref="Z165" r:id="rId378" xr:uid="{6BD3BECA-E820-49FD-A31F-B7EB767F6620}"/>
    <hyperlink ref="Z166" r:id="rId379" xr:uid="{AB3B0651-C817-4ED6-A55C-2BB6C4EC6CDE}"/>
    <hyperlink ref="Z167" r:id="rId380" xr:uid="{F0C11405-575A-4F20-A49C-8E8B23A60D14}"/>
    <hyperlink ref="Z168" r:id="rId381" xr:uid="{E6A55E47-FC1C-4D81-898E-57C3AE2A84F9}"/>
    <hyperlink ref="Z169" r:id="rId382" xr:uid="{E97192B1-8B14-4DBB-A881-40BE143958CF}"/>
    <hyperlink ref="Z170" r:id="rId383" xr:uid="{02FE4A90-F03E-4DA5-BB99-75F445FF4F05}"/>
    <hyperlink ref="Z171" r:id="rId384" xr:uid="{92490C0A-D0BF-4A1C-BD49-8FF0A7E4F568}"/>
    <hyperlink ref="Z172" r:id="rId385" xr:uid="{0874207B-A6FF-4DB1-AA13-26658041F524}"/>
    <hyperlink ref="Z173" r:id="rId386" xr:uid="{80D7FF76-62EE-4BC2-BBDF-6F9570F7E905}"/>
    <hyperlink ref="Z175" r:id="rId387" xr:uid="{2D406B39-9CEC-478F-8387-41C5A2449D7D}"/>
    <hyperlink ref="Z577" r:id="rId388" xr:uid="{C6FEF9D0-9DC5-45E7-8B03-90A801C58AAD}"/>
    <hyperlink ref="Z605" r:id="rId389" display="esperanza.moreno@mininterior.gov.co" xr:uid="{65976289-79DE-4534-8960-41800697AF7F}"/>
    <hyperlink ref="Z594" r:id="rId390" display="esperanza.moreno@mininterior.gov.co" xr:uid="{0E6ECCAC-5CC5-474A-9A9B-9A6E42C7CA9B}"/>
    <hyperlink ref="Z586" r:id="rId391" display="esperanza.moreno@mininterior.gov.co" xr:uid="{F743CE59-4B11-4776-85ED-153755C0FDF1}"/>
    <hyperlink ref="Z106" r:id="rId392" xr:uid="{12ED0161-EC5F-4C62-8696-4406F48ED089}"/>
    <hyperlink ref="Z108" r:id="rId393" xr:uid="{75B0954F-3C95-4091-9EBF-938C1D578580}"/>
    <hyperlink ref="Z109" r:id="rId394" xr:uid="{941CE3CC-E204-4651-8D5E-ED9425D9C281}"/>
    <hyperlink ref="Z110" r:id="rId395" xr:uid="{659021EF-83AA-41B8-8940-2CA8B9B4BAC2}"/>
    <hyperlink ref="Z112" r:id="rId396" xr:uid="{35DAB16A-D7DC-4073-B377-F7E0C70A8BCF}"/>
    <hyperlink ref="Z113" r:id="rId397" xr:uid="{46E82AF4-7519-4C69-8755-755AE49D948D}"/>
    <hyperlink ref="Z114" r:id="rId398" xr:uid="{28F419A7-9AC8-4140-AA38-BDBB163A6A28}"/>
    <hyperlink ref="Z115" r:id="rId399" xr:uid="{0112CDB7-4226-427B-8978-7F2F145F816F}"/>
    <hyperlink ref="Z118" r:id="rId400" xr:uid="{DB1ECE1F-D02B-488C-805D-3377A5B745FC}"/>
    <hyperlink ref="Z119" r:id="rId401" xr:uid="{D36D8ACD-19A0-4672-9E57-28FF6665D156}"/>
    <hyperlink ref="Z120" r:id="rId402" xr:uid="{E8AB3732-48C1-4AFF-A2B6-EA0ADC240E5F}"/>
    <hyperlink ref="Z121" r:id="rId403" xr:uid="{361FDC8C-165C-4B4A-A715-9BA154FDDA59}"/>
    <hyperlink ref="Z122" r:id="rId404" xr:uid="{4F8DEF28-623A-43B7-A37D-7613330D08F2}"/>
    <hyperlink ref="Z123" r:id="rId405" xr:uid="{7F6F062D-70B3-4FD2-85A8-8354B1C92D45}"/>
    <hyperlink ref="Z126" r:id="rId406" xr:uid="{5212652F-91C4-4161-8A9D-AA8A7AB8F2F6}"/>
    <hyperlink ref="Z127" r:id="rId407" xr:uid="{DCA7042C-E13E-4AFA-B0E9-77B1D4474E38}"/>
    <hyperlink ref="Z128" r:id="rId408" xr:uid="{025FBC14-E437-45C6-A8B0-F1D9F8EFE286}"/>
    <hyperlink ref="Z129" r:id="rId409" xr:uid="{25DF34EE-417A-4C8D-8AD0-EBF846CA6607}"/>
    <hyperlink ref="Z130" r:id="rId410" xr:uid="{772CACE2-FAF4-4CD4-85F9-B5EF1DA0FA0F}"/>
    <hyperlink ref="Z131" r:id="rId411" xr:uid="{6883FA5D-4893-493D-9939-49EFAEF6CD31}"/>
    <hyperlink ref="Z132" r:id="rId412" xr:uid="{FBB0F4A9-8290-483C-8968-29B17F316558}"/>
    <hyperlink ref="Z133" r:id="rId413" xr:uid="{79D16A27-417C-489B-8013-D706FE559257}"/>
    <hyperlink ref="Z134" r:id="rId414" xr:uid="{E48B45ED-441A-421C-BD78-BA093334D785}"/>
    <hyperlink ref="Z135" r:id="rId415" xr:uid="{DE818EB8-A0E9-429E-9D19-CAB76FFD0BC1}"/>
    <hyperlink ref="Z136" r:id="rId416" xr:uid="{F6E1CE5A-9A03-487B-9E5B-B4E7CA4429B5}"/>
    <hyperlink ref="Z137" r:id="rId417" xr:uid="{67D584CE-9313-4B2C-BC4C-64B91A3834B4}"/>
    <hyperlink ref="Z138" r:id="rId418" xr:uid="{D42057FB-E3A3-41DA-97CF-452476B6A068}"/>
    <hyperlink ref="Z140" r:id="rId419" xr:uid="{8B3E46D8-CA97-420C-B2B5-23044B20C7A7}"/>
    <hyperlink ref="Z141" r:id="rId420" xr:uid="{A112BF85-4BD6-4FE0-929E-4A784E5E9289}"/>
    <hyperlink ref="Z142" r:id="rId421" xr:uid="{226CB894-4DB5-49B8-A4D3-99921AEF5985}"/>
    <hyperlink ref="Z143" r:id="rId422" xr:uid="{920E9BF7-3056-4097-B68B-BEF864262CF0}"/>
    <hyperlink ref="Z144" r:id="rId423" xr:uid="{2EC41827-6310-4B0B-8812-65099A30B99D}"/>
    <hyperlink ref="Z145" r:id="rId424" xr:uid="{6A2E2B12-EA9A-4213-B3A3-2D63D05447C8}"/>
    <hyperlink ref="Z146" r:id="rId425" xr:uid="{A304BE55-6804-4BF1-B597-416C6D3839D4}"/>
    <hyperlink ref="Z147" r:id="rId426" xr:uid="{59AF5EF5-8F72-4F09-993A-A3502E436A2C}"/>
    <hyperlink ref="Z148" r:id="rId427" xr:uid="{DB195621-73B4-4338-A658-A51C1D6B395D}"/>
    <hyperlink ref="Z149" r:id="rId428" xr:uid="{BD11B14D-AF30-4131-839E-D412570B3596}"/>
    <hyperlink ref="Z150" r:id="rId429" xr:uid="{B13CEE02-C2F2-4684-80F0-8F65A8F61B43}"/>
    <hyperlink ref="Z151" r:id="rId430" xr:uid="{716A454B-8577-4EF4-95C5-244804BC9490}"/>
    <hyperlink ref="Z152" r:id="rId431" xr:uid="{E04D5209-80E5-445E-B135-3541E0C7A766}"/>
    <hyperlink ref="Z157" r:id="rId432" xr:uid="{9B7CDA0A-C9C6-44B4-9C41-F22E454F8626}"/>
    <hyperlink ref="Z158" r:id="rId433" xr:uid="{4EBE3666-ABAE-44BD-9995-CC302A8E35B3}"/>
    <hyperlink ref="Z159" r:id="rId434" xr:uid="{EA633DBA-BBDA-4124-8B9F-575F37883B85}"/>
    <hyperlink ref="Z162" r:id="rId435" xr:uid="{AE303B1F-8D34-431C-BCE9-418F88D35AB5}"/>
    <hyperlink ref="Z174" r:id="rId436" xr:uid="{3BF93BA3-A0F5-4E72-A529-BAC36B5E1463}"/>
    <hyperlink ref="Z176" r:id="rId437" xr:uid="{998B341F-CF3F-4671-BB43-BB887E60E5BF}"/>
    <hyperlink ref="Z177" r:id="rId438" xr:uid="{C88CD361-C52C-4118-88A9-EF1A4E0BF3C2}"/>
    <hyperlink ref="Z179" r:id="rId439" xr:uid="{7E9DE0DF-74E5-43CE-A71B-1A8BF80950B1}"/>
    <hyperlink ref="Z178" r:id="rId440" xr:uid="{A91FF616-A81E-4319-B1D0-80B63D351ABD}"/>
    <hyperlink ref="Z665" r:id="rId441" xr:uid="{A4951D18-8975-43D1-B67F-63C7861C44D2}"/>
    <hyperlink ref="Z660" r:id="rId442" xr:uid="{18B252D7-9F20-4154-9634-F402075B36AF}"/>
    <hyperlink ref="Z666" r:id="rId443" xr:uid="{CB35C109-96E6-4A58-8AA1-560044F25785}"/>
    <hyperlink ref="Z291" r:id="rId444" xr:uid="{AF21598B-B1CC-4975-9FD5-97082B9731E8}"/>
    <hyperlink ref="Z301" r:id="rId445" xr:uid="{F29EB40C-030E-4A8A-A3A9-E12FC82BC36D}"/>
  </hyperlinks>
  <pageMargins left="0.70866141732283472" right="0.70866141732283472" top="0.74803149606299213" bottom="0.74803149606299213" header="0" footer="0"/>
  <pageSetup orientation="landscape" r:id="rId446"/>
  <drawing r:id="rId44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pageSetUpPr fitToPage="1"/>
  </sheetPr>
  <dimension ref="A6:HG31"/>
  <sheetViews>
    <sheetView topLeftCell="R6" zoomScale="77" zoomScaleNormal="77" workbookViewId="0">
      <selection activeCell="A8" sqref="A8:Y8"/>
    </sheetView>
  </sheetViews>
  <sheetFormatPr baseColWidth="10" defaultColWidth="9.140625" defaultRowHeight="12.75" x14ac:dyDescent="0.2"/>
  <cols>
    <col min="1" max="1" width="6.85546875" style="1" customWidth="1"/>
    <col min="2" max="2" width="39" style="37" customWidth="1"/>
    <col min="3" max="3" width="25.42578125" style="1" customWidth="1"/>
    <col min="4" max="4" width="30.28515625" style="1" bestFit="1" customWidth="1"/>
    <col min="5" max="5" width="18.85546875" style="1" customWidth="1"/>
    <col min="6" max="6" width="30.28515625" style="1" bestFit="1" customWidth="1"/>
    <col min="7" max="7" width="22.85546875" style="2" customWidth="1"/>
    <col min="8" max="8" width="63.140625" style="2" customWidth="1"/>
    <col min="9" max="9" width="22" style="14" customWidth="1"/>
    <col min="10" max="10" width="21.140625" style="14" customWidth="1"/>
    <col min="11" max="11" width="13.28515625" style="14" customWidth="1"/>
    <col min="12" max="12" width="15" style="14" customWidth="1"/>
    <col min="13" max="13" width="23.42578125" style="14" customWidth="1"/>
    <col min="14" max="14" width="27.42578125" style="14" customWidth="1"/>
    <col min="15" max="15" width="17.28515625" style="2" customWidth="1"/>
    <col min="16" max="17" width="29.85546875" style="3" customWidth="1"/>
    <col min="18" max="18" width="17.28515625" style="14" customWidth="1"/>
    <col min="19" max="19" width="16.140625" style="14" customWidth="1"/>
    <col min="20" max="20" width="24.42578125" style="14" customWidth="1"/>
    <col min="21" max="21" width="16.42578125" style="14" customWidth="1"/>
    <col min="22" max="22" width="19.28515625" style="14" customWidth="1"/>
    <col min="23" max="23" width="27.85546875" style="14" customWidth="1"/>
    <col min="24" max="24" width="28.42578125" style="14" customWidth="1"/>
    <col min="25" max="25" width="38.85546875" style="14" customWidth="1"/>
    <col min="26" max="26" width="9.140625" style="2" customWidth="1"/>
    <col min="27" max="256" width="9.140625" style="1"/>
    <col min="257" max="257" width="6.85546875" style="1" customWidth="1"/>
    <col min="258" max="258" width="39" style="1" customWidth="1"/>
    <col min="259" max="259" width="25.42578125" style="1" customWidth="1"/>
    <col min="260" max="260" width="19.140625" style="1" customWidth="1"/>
    <col min="261" max="261" width="18.85546875" style="1" customWidth="1"/>
    <col min="262" max="262" width="25.42578125" style="1" customWidth="1"/>
    <col min="263" max="263" width="22.85546875" style="1" customWidth="1"/>
    <col min="264" max="264" width="63.140625" style="1" customWidth="1"/>
    <col min="265" max="265" width="15" style="1" customWidth="1"/>
    <col min="266" max="266" width="15.42578125" style="1" customWidth="1"/>
    <col min="267" max="267" width="13.28515625" style="1" customWidth="1"/>
    <col min="268" max="268" width="15" style="1" customWidth="1"/>
    <col min="269" max="269" width="23.42578125" style="1" customWidth="1"/>
    <col min="270" max="270" width="27.42578125" style="1" customWidth="1"/>
    <col min="271" max="271" width="17.28515625" style="1" customWidth="1"/>
    <col min="272" max="273" width="29.85546875" style="1" customWidth="1"/>
    <col min="274" max="274" width="17.28515625" style="1" customWidth="1"/>
    <col min="275" max="275" width="16.140625" style="1" customWidth="1"/>
    <col min="276" max="276" width="24.42578125" style="1" customWidth="1"/>
    <col min="277" max="277" width="16.42578125" style="1" customWidth="1"/>
    <col min="278" max="278" width="19.28515625" style="1" customWidth="1"/>
    <col min="279" max="279" width="27.85546875" style="1" customWidth="1"/>
    <col min="280" max="280" width="28.42578125" style="1" customWidth="1"/>
    <col min="281" max="281" width="38.85546875" style="1" customWidth="1"/>
    <col min="282" max="512" width="9.140625" style="1"/>
    <col min="513" max="513" width="6.85546875" style="1" customWidth="1"/>
    <col min="514" max="514" width="39" style="1" customWidth="1"/>
    <col min="515" max="515" width="25.42578125" style="1" customWidth="1"/>
    <col min="516" max="516" width="19.140625" style="1" customWidth="1"/>
    <col min="517" max="517" width="18.85546875" style="1" customWidth="1"/>
    <col min="518" max="518" width="25.42578125" style="1" customWidth="1"/>
    <col min="519" max="519" width="22.85546875" style="1" customWidth="1"/>
    <col min="520" max="520" width="63.140625" style="1" customWidth="1"/>
    <col min="521" max="521" width="15" style="1" customWidth="1"/>
    <col min="522" max="522" width="15.42578125" style="1" customWidth="1"/>
    <col min="523" max="523" width="13.28515625" style="1" customWidth="1"/>
    <col min="524" max="524" width="15" style="1" customWidth="1"/>
    <col min="525" max="525" width="23.42578125" style="1" customWidth="1"/>
    <col min="526" max="526" width="27.42578125" style="1" customWidth="1"/>
    <col min="527" max="527" width="17.28515625" style="1" customWidth="1"/>
    <col min="528" max="529" width="29.85546875" style="1" customWidth="1"/>
    <col min="530" max="530" width="17.28515625" style="1" customWidth="1"/>
    <col min="531" max="531" width="16.140625" style="1" customWidth="1"/>
    <col min="532" max="532" width="24.42578125" style="1" customWidth="1"/>
    <col min="533" max="533" width="16.42578125" style="1" customWidth="1"/>
    <col min="534" max="534" width="19.28515625" style="1" customWidth="1"/>
    <col min="535" max="535" width="27.85546875" style="1" customWidth="1"/>
    <col min="536" max="536" width="28.42578125" style="1" customWidth="1"/>
    <col min="537" max="537" width="38.85546875" style="1" customWidth="1"/>
    <col min="538" max="768" width="9.140625" style="1"/>
    <col min="769" max="769" width="6.85546875" style="1" customWidth="1"/>
    <col min="770" max="770" width="39" style="1" customWidth="1"/>
    <col min="771" max="771" width="25.42578125" style="1" customWidth="1"/>
    <col min="772" max="772" width="19.140625" style="1" customWidth="1"/>
    <col min="773" max="773" width="18.85546875" style="1" customWidth="1"/>
    <col min="774" max="774" width="25.42578125" style="1" customWidth="1"/>
    <col min="775" max="775" width="22.85546875" style="1" customWidth="1"/>
    <col min="776" max="776" width="63.140625" style="1" customWidth="1"/>
    <col min="777" max="777" width="15" style="1" customWidth="1"/>
    <col min="778" max="778" width="15.42578125" style="1" customWidth="1"/>
    <col min="779" max="779" width="13.28515625" style="1" customWidth="1"/>
    <col min="780" max="780" width="15" style="1" customWidth="1"/>
    <col min="781" max="781" width="23.42578125" style="1" customWidth="1"/>
    <col min="782" max="782" width="27.42578125" style="1" customWidth="1"/>
    <col min="783" max="783" width="17.28515625" style="1" customWidth="1"/>
    <col min="784" max="785" width="29.85546875" style="1" customWidth="1"/>
    <col min="786" max="786" width="17.28515625" style="1" customWidth="1"/>
    <col min="787" max="787" width="16.140625" style="1" customWidth="1"/>
    <col min="788" max="788" width="24.42578125" style="1" customWidth="1"/>
    <col min="789" max="789" width="16.42578125" style="1" customWidth="1"/>
    <col min="790" max="790" width="19.28515625" style="1" customWidth="1"/>
    <col min="791" max="791" width="27.85546875" style="1" customWidth="1"/>
    <col min="792" max="792" width="28.42578125" style="1" customWidth="1"/>
    <col min="793" max="793" width="38.85546875" style="1" customWidth="1"/>
    <col min="794" max="1024" width="9.140625" style="1"/>
    <col min="1025" max="1025" width="6.85546875" style="1" customWidth="1"/>
    <col min="1026" max="1026" width="39" style="1" customWidth="1"/>
    <col min="1027" max="1027" width="25.42578125" style="1" customWidth="1"/>
    <col min="1028" max="1028" width="19.140625" style="1" customWidth="1"/>
    <col min="1029" max="1029" width="18.85546875" style="1" customWidth="1"/>
    <col min="1030" max="1030" width="25.42578125" style="1" customWidth="1"/>
    <col min="1031" max="1031" width="22.85546875" style="1" customWidth="1"/>
    <col min="1032" max="1032" width="63.140625" style="1" customWidth="1"/>
    <col min="1033" max="1033" width="15" style="1" customWidth="1"/>
    <col min="1034" max="1034" width="15.42578125" style="1" customWidth="1"/>
    <col min="1035" max="1035" width="13.28515625" style="1" customWidth="1"/>
    <col min="1036" max="1036" width="15" style="1" customWidth="1"/>
    <col min="1037" max="1037" width="23.42578125" style="1" customWidth="1"/>
    <col min="1038" max="1038" width="27.42578125" style="1" customWidth="1"/>
    <col min="1039" max="1039" width="17.28515625" style="1" customWidth="1"/>
    <col min="1040" max="1041" width="29.85546875" style="1" customWidth="1"/>
    <col min="1042" max="1042" width="17.28515625" style="1" customWidth="1"/>
    <col min="1043" max="1043" width="16.140625" style="1" customWidth="1"/>
    <col min="1044" max="1044" width="24.42578125" style="1" customWidth="1"/>
    <col min="1045" max="1045" width="16.42578125" style="1" customWidth="1"/>
    <col min="1046" max="1046" width="19.28515625" style="1" customWidth="1"/>
    <col min="1047" max="1047" width="27.85546875" style="1" customWidth="1"/>
    <col min="1048" max="1048" width="28.42578125" style="1" customWidth="1"/>
    <col min="1049" max="1049" width="38.85546875" style="1" customWidth="1"/>
    <col min="1050" max="1280" width="9.140625" style="1"/>
    <col min="1281" max="1281" width="6.85546875" style="1" customWidth="1"/>
    <col min="1282" max="1282" width="39" style="1" customWidth="1"/>
    <col min="1283" max="1283" width="25.42578125" style="1" customWidth="1"/>
    <col min="1284" max="1284" width="19.140625" style="1" customWidth="1"/>
    <col min="1285" max="1285" width="18.85546875" style="1" customWidth="1"/>
    <col min="1286" max="1286" width="25.42578125" style="1" customWidth="1"/>
    <col min="1287" max="1287" width="22.85546875" style="1" customWidth="1"/>
    <col min="1288" max="1288" width="63.140625" style="1" customWidth="1"/>
    <col min="1289" max="1289" width="15" style="1" customWidth="1"/>
    <col min="1290" max="1290" width="15.42578125" style="1" customWidth="1"/>
    <col min="1291" max="1291" width="13.28515625" style="1" customWidth="1"/>
    <col min="1292" max="1292" width="15" style="1" customWidth="1"/>
    <col min="1293" max="1293" width="23.42578125" style="1" customWidth="1"/>
    <col min="1294" max="1294" width="27.42578125" style="1" customWidth="1"/>
    <col min="1295" max="1295" width="17.28515625" style="1" customWidth="1"/>
    <col min="1296" max="1297" width="29.85546875" style="1" customWidth="1"/>
    <col min="1298" max="1298" width="17.28515625" style="1" customWidth="1"/>
    <col min="1299" max="1299" width="16.140625" style="1" customWidth="1"/>
    <col min="1300" max="1300" width="24.42578125" style="1" customWidth="1"/>
    <col min="1301" max="1301" width="16.42578125" style="1" customWidth="1"/>
    <col min="1302" max="1302" width="19.28515625" style="1" customWidth="1"/>
    <col min="1303" max="1303" width="27.85546875" style="1" customWidth="1"/>
    <col min="1304" max="1304" width="28.42578125" style="1" customWidth="1"/>
    <col min="1305" max="1305" width="38.85546875" style="1" customWidth="1"/>
    <col min="1306" max="1536" width="9.140625" style="1"/>
    <col min="1537" max="1537" width="6.85546875" style="1" customWidth="1"/>
    <col min="1538" max="1538" width="39" style="1" customWidth="1"/>
    <col min="1539" max="1539" width="25.42578125" style="1" customWidth="1"/>
    <col min="1540" max="1540" width="19.140625" style="1" customWidth="1"/>
    <col min="1541" max="1541" width="18.85546875" style="1" customWidth="1"/>
    <col min="1542" max="1542" width="25.42578125" style="1" customWidth="1"/>
    <col min="1543" max="1543" width="22.85546875" style="1" customWidth="1"/>
    <col min="1544" max="1544" width="63.140625" style="1" customWidth="1"/>
    <col min="1545" max="1545" width="15" style="1" customWidth="1"/>
    <col min="1546" max="1546" width="15.42578125" style="1" customWidth="1"/>
    <col min="1547" max="1547" width="13.28515625" style="1" customWidth="1"/>
    <col min="1548" max="1548" width="15" style="1" customWidth="1"/>
    <col min="1549" max="1549" width="23.42578125" style="1" customWidth="1"/>
    <col min="1550" max="1550" width="27.42578125" style="1" customWidth="1"/>
    <col min="1551" max="1551" width="17.28515625" style="1" customWidth="1"/>
    <col min="1552" max="1553" width="29.85546875" style="1" customWidth="1"/>
    <col min="1554" max="1554" width="17.28515625" style="1" customWidth="1"/>
    <col min="1555" max="1555" width="16.140625" style="1" customWidth="1"/>
    <col min="1556" max="1556" width="24.42578125" style="1" customWidth="1"/>
    <col min="1557" max="1557" width="16.42578125" style="1" customWidth="1"/>
    <col min="1558" max="1558" width="19.28515625" style="1" customWidth="1"/>
    <col min="1559" max="1559" width="27.85546875" style="1" customWidth="1"/>
    <col min="1560" max="1560" width="28.42578125" style="1" customWidth="1"/>
    <col min="1561" max="1561" width="38.85546875" style="1" customWidth="1"/>
    <col min="1562" max="1792" width="9.140625" style="1"/>
    <col min="1793" max="1793" width="6.85546875" style="1" customWidth="1"/>
    <col min="1794" max="1794" width="39" style="1" customWidth="1"/>
    <col min="1795" max="1795" width="25.42578125" style="1" customWidth="1"/>
    <col min="1796" max="1796" width="19.140625" style="1" customWidth="1"/>
    <col min="1797" max="1797" width="18.85546875" style="1" customWidth="1"/>
    <col min="1798" max="1798" width="25.42578125" style="1" customWidth="1"/>
    <col min="1799" max="1799" width="22.85546875" style="1" customWidth="1"/>
    <col min="1800" max="1800" width="63.140625" style="1" customWidth="1"/>
    <col min="1801" max="1801" width="15" style="1" customWidth="1"/>
    <col min="1802" max="1802" width="15.42578125" style="1" customWidth="1"/>
    <col min="1803" max="1803" width="13.28515625" style="1" customWidth="1"/>
    <col min="1804" max="1804" width="15" style="1" customWidth="1"/>
    <col min="1805" max="1805" width="23.42578125" style="1" customWidth="1"/>
    <col min="1806" max="1806" width="27.42578125" style="1" customWidth="1"/>
    <col min="1807" max="1807" width="17.28515625" style="1" customWidth="1"/>
    <col min="1808" max="1809" width="29.85546875" style="1" customWidth="1"/>
    <col min="1810" max="1810" width="17.28515625" style="1" customWidth="1"/>
    <col min="1811" max="1811" width="16.140625" style="1" customWidth="1"/>
    <col min="1812" max="1812" width="24.42578125" style="1" customWidth="1"/>
    <col min="1813" max="1813" width="16.42578125" style="1" customWidth="1"/>
    <col min="1814" max="1814" width="19.28515625" style="1" customWidth="1"/>
    <col min="1815" max="1815" width="27.85546875" style="1" customWidth="1"/>
    <col min="1816" max="1816" width="28.42578125" style="1" customWidth="1"/>
    <col min="1817" max="1817" width="38.85546875" style="1" customWidth="1"/>
    <col min="1818" max="2048" width="9.140625" style="1"/>
    <col min="2049" max="2049" width="6.85546875" style="1" customWidth="1"/>
    <col min="2050" max="2050" width="39" style="1" customWidth="1"/>
    <col min="2051" max="2051" width="25.42578125" style="1" customWidth="1"/>
    <col min="2052" max="2052" width="19.140625" style="1" customWidth="1"/>
    <col min="2053" max="2053" width="18.85546875" style="1" customWidth="1"/>
    <col min="2054" max="2054" width="25.42578125" style="1" customWidth="1"/>
    <col min="2055" max="2055" width="22.85546875" style="1" customWidth="1"/>
    <col min="2056" max="2056" width="63.140625" style="1" customWidth="1"/>
    <col min="2057" max="2057" width="15" style="1" customWidth="1"/>
    <col min="2058" max="2058" width="15.42578125" style="1" customWidth="1"/>
    <col min="2059" max="2059" width="13.28515625" style="1" customWidth="1"/>
    <col min="2060" max="2060" width="15" style="1" customWidth="1"/>
    <col min="2061" max="2061" width="23.42578125" style="1" customWidth="1"/>
    <col min="2062" max="2062" width="27.42578125" style="1" customWidth="1"/>
    <col min="2063" max="2063" width="17.28515625" style="1" customWidth="1"/>
    <col min="2064" max="2065" width="29.85546875" style="1" customWidth="1"/>
    <col min="2066" max="2066" width="17.28515625" style="1" customWidth="1"/>
    <col min="2067" max="2067" width="16.140625" style="1" customWidth="1"/>
    <col min="2068" max="2068" width="24.42578125" style="1" customWidth="1"/>
    <col min="2069" max="2069" width="16.42578125" style="1" customWidth="1"/>
    <col min="2070" max="2070" width="19.28515625" style="1" customWidth="1"/>
    <col min="2071" max="2071" width="27.85546875" style="1" customWidth="1"/>
    <col min="2072" max="2072" width="28.42578125" style="1" customWidth="1"/>
    <col min="2073" max="2073" width="38.85546875" style="1" customWidth="1"/>
    <col min="2074" max="2304" width="9.140625" style="1"/>
    <col min="2305" max="2305" width="6.85546875" style="1" customWidth="1"/>
    <col min="2306" max="2306" width="39" style="1" customWidth="1"/>
    <col min="2307" max="2307" width="25.42578125" style="1" customWidth="1"/>
    <col min="2308" max="2308" width="19.140625" style="1" customWidth="1"/>
    <col min="2309" max="2309" width="18.85546875" style="1" customWidth="1"/>
    <col min="2310" max="2310" width="25.42578125" style="1" customWidth="1"/>
    <col min="2311" max="2311" width="22.85546875" style="1" customWidth="1"/>
    <col min="2312" max="2312" width="63.140625" style="1" customWidth="1"/>
    <col min="2313" max="2313" width="15" style="1" customWidth="1"/>
    <col min="2314" max="2314" width="15.42578125" style="1" customWidth="1"/>
    <col min="2315" max="2315" width="13.28515625" style="1" customWidth="1"/>
    <col min="2316" max="2316" width="15" style="1" customWidth="1"/>
    <col min="2317" max="2317" width="23.42578125" style="1" customWidth="1"/>
    <col min="2318" max="2318" width="27.42578125" style="1" customWidth="1"/>
    <col min="2319" max="2319" width="17.28515625" style="1" customWidth="1"/>
    <col min="2320" max="2321" width="29.85546875" style="1" customWidth="1"/>
    <col min="2322" max="2322" width="17.28515625" style="1" customWidth="1"/>
    <col min="2323" max="2323" width="16.140625" style="1" customWidth="1"/>
    <col min="2324" max="2324" width="24.42578125" style="1" customWidth="1"/>
    <col min="2325" max="2325" width="16.42578125" style="1" customWidth="1"/>
    <col min="2326" max="2326" width="19.28515625" style="1" customWidth="1"/>
    <col min="2327" max="2327" width="27.85546875" style="1" customWidth="1"/>
    <col min="2328" max="2328" width="28.42578125" style="1" customWidth="1"/>
    <col min="2329" max="2329" width="38.85546875" style="1" customWidth="1"/>
    <col min="2330" max="2560" width="9.140625" style="1"/>
    <col min="2561" max="2561" width="6.85546875" style="1" customWidth="1"/>
    <col min="2562" max="2562" width="39" style="1" customWidth="1"/>
    <col min="2563" max="2563" width="25.42578125" style="1" customWidth="1"/>
    <col min="2564" max="2564" width="19.140625" style="1" customWidth="1"/>
    <col min="2565" max="2565" width="18.85546875" style="1" customWidth="1"/>
    <col min="2566" max="2566" width="25.42578125" style="1" customWidth="1"/>
    <col min="2567" max="2567" width="22.85546875" style="1" customWidth="1"/>
    <col min="2568" max="2568" width="63.140625" style="1" customWidth="1"/>
    <col min="2569" max="2569" width="15" style="1" customWidth="1"/>
    <col min="2570" max="2570" width="15.42578125" style="1" customWidth="1"/>
    <col min="2571" max="2571" width="13.28515625" style="1" customWidth="1"/>
    <col min="2572" max="2572" width="15" style="1" customWidth="1"/>
    <col min="2573" max="2573" width="23.42578125" style="1" customWidth="1"/>
    <col min="2574" max="2574" width="27.42578125" style="1" customWidth="1"/>
    <col min="2575" max="2575" width="17.28515625" style="1" customWidth="1"/>
    <col min="2576" max="2577" width="29.85546875" style="1" customWidth="1"/>
    <col min="2578" max="2578" width="17.28515625" style="1" customWidth="1"/>
    <col min="2579" max="2579" width="16.140625" style="1" customWidth="1"/>
    <col min="2580" max="2580" width="24.42578125" style="1" customWidth="1"/>
    <col min="2581" max="2581" width="16.42578125" style="1" customWidth="1"/>
    <col min="2582" max="2582" width="19.28515625" style="1" customWidth="1"/>
    <col min="2583" max="2583" width="27.85546875" style="1" customWidth="1"/>
    <col min="2584" max="2584" width="28.42578125" style="1" customWidth="1"/>
    <col min="2585" max="2585" width="38.85546875" style="1" customWidth="1"/>
    <col min="2586" max="2816" width="9.140625" style="1"/>
    <col min="2817" max="2817" width="6.85546875" style="1" customWidth="1"/>
    <col min="2818" max="2818" width="39" style="1" customWidth="1"/>
    <col min="2819" max="2819" width="25.42578125" style="1" customWidth="1"/>
    <col min="2820" max="2820" width="19.140625" style="1" customWidth="1"/>
    <col min="2821" max="2821" width="18.85546875" style="1" customWidth="1"/>
    <col min="2822" max="2822" width="25.42578125" style="1" customWidth="1"/>
    <col min="2823" max="2823" width="22.85546875" style="1" customWidth="1"/>
    <col min="2824" max="2824" width="63.140625" style="1" customWidth="1"/>
    <col min="2825" max="2825" width="15" style="1" customWidth="1"/>
    <col min="2826" max="2826" width="15.42578125" style="1" customWidth="1"/>
    <col min="2827" max="2827" width="13.28515625" style="1" customWidth="1"/>
    <col min="2828" max="2828" width="15" style="1" customWidth="1"/>
    <col min="2829" max="2829" width="23.42578125" style="1" customWidth="1"/>
    <col min="2830" max="2830" width="27.42578125" style="1" customWidth="1"/>
    <col min="2831" max="2831" width="17.28515625" style="1" customWidth="1"/>
    <col min="2832" max="2833" width="29.85546875" style="1" customWidth="1"/>
    <col min="2834" max="2834" width="17.28515625" style="1" customWidth="1"/>
    <col min="2835" max="2835" width="16.140625" style="1" customWidth="1"/>
    <col min="2836" max="2836" width="24.42578125" style="1" customWidth="1"/>
    <col min="2837" max="2837" width="16.42578125" style="1" customWidth="1"/>
    <col min="2838" max="2838" width="19.28515625" style="1" customWidth="1"/>
    <col min="2839" max="2839" width="27.85546875" style="1" customWidth="1"/>
    <col min="2840" max="2840" width="28.42578125" style="1" customWidth="1"/>
    <col min="2841" max="2841" width="38.85546875" style="1" customWidth="1"/>
    <col min="2842" max="3072" width="9.140625" style="1"/>
    <col min="3073" max="3073" width="6.85546875" style="1" customWidth="1"/>
    <col min="3074" max="3074" width="39" style="1" customWidth="1"/>
    <col min="3075" max="3075" width="25.42578125" style="1" customWidth="1"/>
    <col min="3076" max="3076" width="19.140625" style="1" customWidth="1"/>
    <col min="3077" max="3077" width="18.85546875" style="1" customWidth="1"/>
    <col min="3078" max="3078" width="25.42578125" style="1" customWidth="1"/>
    <col min="3079" max="3079" width="22.85546875" style="1" customWidth="1"/>
    <col min="3080" max="3080" width="63.140625" style="1" customWidth="1"/>
    <col min="3081" max="3081" width="15" style="1" customWidth="1"/>
    <col min="3082" max="3082" width="15.42578125" style="1" customWidth="1"/>
    <col min="3083" max="3083" width="13.28515625" style="1" customWidth="1"/>
    <col min="3084" max="3084" width="15" style="1" customWidth="1"/>
    <col min="3085" max="3085" width="23.42578125" style="1" customWidth="1"/>
    <col min="3086" max="3086" width="27.42578125" style="1" customWidth="1"/>
    <col min="3087" max="3087" width="17.28515625" style="1" customWidth="1"/>
    <col min="3088" max="3089" width="29.85546875" style="1" customWidth="1"/>
    <col min="3090" max="3090" width="17.28515625" style="1" customWidth="1"/>
    <col min="3091" max="3091" width="16.140625" style="1" customWidth="1"/>
    <col min="3092" max="3092" width="24.42578125" style="1" customWidth="1"/>
    <col min="3093" max="3093" width="16.42578125" style="1" customWidth="1"/>
    <col min="3094" max="3094" width="19.28515625" style="1" customWidth="1"/>
    <col min="3095" max="3095" width="27.85546875" style="1" customWidth="1"/>
    <col min="3096" max="3096" width="28.42578125" style="1" customWidth="1"/>
    <col min="3097" max="3097" width="38.85546875" style="1" customWidth="1"/>
    <col min="3098" max="3328" width="9.140625" style="1"/>
    <col min="3329" max="3329" width="6.85546875" style="1" customWidth="1"/>
    <col min="3330" max="3330" width="39" style="1" customWidth="1"/>
    <col min="3331" max="3331" width="25.42578125" style="1" customWidth="1"/>
    <col min="3332" max="3332" width="19.140625" style="1" customWidth="1"/>
    <col min="3333" max="3333" width="18.85546875" style="1" customWidth="1"/>
    <col min="3334" max="3334" width="25.42578125" style="1" customWidth="1"/>
    <col min="3335" max="3335" width="22.85546875" style="1" customWidth="1"/>
    <col min="3336" max="3336" width="63.140625" style="1" customWidth="1"/>
    <col min="3337" max="3337" width="15" style="1" customWidth="1"/>
    <col min="3338" max="3338" width="15.42578125" style="1" customWidth="1"/>
    <col min="3339" max="3339" width="13.28515625" style="1" customWidth="1"/>
    <col min="3340" max="3340" width="15" style="1" customWidth="1"/>
    <col min="3341" max="3341" width="23.42578125" style="1" customWidth="1"/>
    <col min="3342" max="3342" width="27.42578125" style="1" customWidth="1"/>
    <col min="3343" max="3343" width="17.28515625" style="1" customWidth="1"/>
    <col min="3344" max="3345" width="29.85546875" style="1" customWidth="1"/>
    <col min="3346" max="3346" width="17.28515625" style="1" customWidth="1"/>
    <col min="3347" max="3347" width="16.140625" style="1" customWidth="1"/>
    <col min="3348" max="3348" width="24.42578125" style="1" customWidth="1"/>
    <col min="3349" max="3349" width="16.42578125" style="1" customWidth="1"/>
    <col min="3350" max="3350" width="19.28515625" style="1" customWidth="1"/>
    <col min="3351" max="3351" width="27.85546875" style="1" customWidth="1"/>
    <col min="3352" max="3352" width="28.42578125" style="1" customWidth="1"/>
    <col min="3353" max="3353" width="38.85546875" style="1" customWidth="1"/>
    <col min="3354" max="3584" width="9.140625" style="1"/>
    <col min="3585" max="3585" width="6.85546875" style="1" customWidth="1"/>
    <col min="3586" max="3586" width="39" style="1" customWidth="1"/>
    <col min="3587" max="3587" width="25.42578125" style="1" customWidth="1"/>
    <col min="3588" max="3588" width="19.140625" style="1" customWidth="1"/>
    <col min="3589" max="3589" width="18.85546875" style="1" customWidth="1"/>
    <col min="3590" max="3590" width="25.42578125" style="1" customWidth="1"/>
    <col min="3591" max="3591" width="22.85546875" style="1" customWidth="1"/>
    <col min="3592" max="3592" width="63.140625" style="1" customWidth="1"/>
    <col min="3593" max="3593" width="15" style="1" customWidth="1"/>
    <col min="3594" max="3594" width="15.42578125" style="1" customWidth="1"/>
    <col min="3595" max="3595" width="13.28515625" style="1" customWidth="1"/>
    <col min="3596" max="3596" width="15" style="1" customWidth="1"/>
    <col min="3597" max="3597" width="23.42578125" style="1" customWidth="1"/>
    <col min="3598" max="3598" width="27.42578125" style="1" customWidth="1"/>
    <col min="3599" max="3599" width="17.28515625" style="1" customWidth="1"/>
    <col min="3600" max="3601" width="29.85546875" style="1" customWidth="1"/>
    <col min="3602" max="3602" width="17.28515625" style="1" customWidth="1"/>
    <col min="3603" max="3603" width="16.140625" style="1" customWidth="1"/>
    <col min="3604" max="3604" width="24.42578125" style="1" customWidth="1"/>
    <col min="3605" max="3605" width="16.42578125" style="1" customWidth="1"/>
    <col min="3606" max="3606" width="19.28515625" style="1" customWidth="1"/>
    <col min="3607" max="3607" width="27.85546875" style="1" customWidth="1"/>
    <col min="3608" max="3608" width="28.42578125" style="1" customWidth="1"/>
    <col min="3609" max="3609" width="38.85546875" style="1" customWidth="1"/>
    <col min="3610" max="3840" width="9.140625" style="1"/>
    <col min="3841" max="3841" width="6.85546875" style="1" customWidth="1"/>
    <col min="3842" max="3842" width="39" style="1" customWidth="1"/>
    <col min="3843" max="3843" width="25.42578125" style="1" customWidth="1"/>
    <col min="3844" max="3844" width="19.140625" style="1" customWidth="1"/>
    <col min="3845" max="3845" width="18.85546875" style="1" customWidth="1"/>
    <col min="3846" max="3846" width="25.42578125" style="1" customWidth="1"/>
    <col min="3847" max="3847" width="22.85546875" style="1" customWidth="1"/>
    <col min="3848" max="3848" width="63.140625" style="1" customWidth="1"/>
    <col min="3849" max="3849" width="15" style="1" customWidth="1"/>
    <col min="3850" max="3850" width="15.42578125" style="1" customWidth="1"/>
    <col min="3851" max="3851" width="13.28515625" style="1" customWidth="1"/>
    <col min="3852" max="3852" width="15" style="1" customWidth="1"/>
    <col min="3853" max="3853" width="23.42578125" style="1" customWidth="1"/>
    <col min="3854" max="3854" width="27.42578125" style="1" customWidth="1"/>
    <col min="3855" max="3855" width="17.28515625" style="1" customWidth="1"/>
    <col min="3856" max="3857" width="29.85546875" style="1" customWidth="1"/>
    <col min="3858" max="3858" width="17.28515625" style="1" customWidth="1"/>
    <col min="3859" max="3859" width="16.140625" style="1" customWidth="1"/>
    <col min="3860" max="3860" width="24.42578125" style="1" customWidth="1"/>
    <col min="3861" max="3861" width="16.42578125" style="1" customWidth="1"/>
    <col min="3862" max="3862" width="19.28515625" style="1" customWidth="1"/>
    <col min="3863" max="3863" width="27.85546875" style="1" customWidth="1"/>
    <col min="3864" max="3864" width="28.42578125" style="1" customWidth="1"/>
    <col min="3865" max="3865" width="38.85546875" style="1" customWidth="1"/>
    <col min="3866" max="4096" width="9.140625" style="1"/>
    <col min="4097" max="4097" width="6.85546875" style="1" customWidth="1"/>
    <col min="4098" max="4098" width="39" style="1" customWidth="1"/>
    <col min="4099" max="4099" width="25.42578125" style="1" customWidth="1"/>
    <col min="4100" max="4100" width="19.140625" style="1" customWidth="1"/>
    <col min="4101" max="4101" width="18.85546875" style="1" customWidth="1"/>
    <col min="4102" max="4102" width="25.42578125" style="1" customWidth="1"/>
    <col min="4103" max="4103" width="22.85546875" style="1" customWidth="1"/>
    <col min="4104" max="4104" width="63.140625" style="1" customWidth="1"/>
    <col min="4105" max="4105" width="15" style="1" customWidth="1"/>
    <col min="4106" max="4106" width="15.42578125" style="1" customWidth="1"/>
    <col min="4107" max="4107" width="13.28515625" style="1" customWidth="1"/>
    <col min="4108" max="4108" width="15" style="1" customWidth="1"/>
    <col min="4109" max="4109" width="23.42578125" style="1" customWidth="1"/>
    <col min="4110" max="4110" width="27.42578125" style="1" customWidth="1"/>
    <col min="4111" max="4111" width="17.28515625" style="1" customWidth="1"/>
    <col min="4112" max="4113" width="29.85546875" style="1" customWidth="1"/>
    <col min="4114" max="4114" width="17.28515625" style="1" customWidth="1"/>
    <col min="4115" max="4115" width="16.140625" style="1" customWidth="1"/>
    <col min="4116" max="4116" width="24.42578125" style="1" customWidth="1"/>
    <col min="4117" max="4117" width="16.42578125" style="1" customWidth="1"/>
    <col min="4118" max="4118" width="19.28515625" style="1" customWidth="1"/>
    <col min="4119" max="4119" width="27.85546875" style="1" customWidth="1"/>
    <col min="4120" max="4120" width="28.42578125" style="1" customWidth="1"/>
    <col min="4121" max="4121" width="38.85546875" style="1" customWidth="1"/>
    <col min="4122" max="4352" width="9.140625" style="1"/>
    <col min="4353" max="4353" width="6.85546875" style="1" customWidth="1"/>
    <col min="4354" max="4354" width="39" style="1" customWidth="1"/>
    <col min="4355" max="4355" width="25.42578125" style="1" customWidth="1"/>
    <col min="4356" max="4356" width="19.140625" style="1" customWidth="1"/>
    <col min="4357" max="4357" width="18.85546875" style="1" customWidth="1"/>
    <col min="4358" max="4358" width="25.42578125" style="1" customWidth="1"/>
    <col min="4359" max="4359" width="22.85546875" style="1" customWidth="1"/>
    <col min="4360" max="4360" width="63.140625" style="1" customWidth="1"/>
    <col min="4361" max="4361" width="15" style="1" customWidth="1"/>
    <col min="4362" max="4362" width="15.42578125" style="1" customWidth="1"/>
    <col min="4363" max="4363" width="13.28515625" style="1" customWidth="1"/>
    <col min="4364" max="4364" width="15" style="1" customWidth="1"/>
    <col min="4365" max="4365" width="23.42578125" style="1" customWidth="1"/>
    <col min="4366" max="4366" width="27.42578125" style="1" customWidth="1"/>
    <col min="4367" max="4367" width="17.28515625" style="1" customWidth="1"/>
    <col min="4368" max="4369" width="29.85546875" style="1" customWidth="1"/>
    <col min="4370" max="4370" width="17.28515625" style="1" customWidth="1"/>
    <col min="4371" max="4371" width="16.140625" style="1" customWidth="1"/>
    <col min="4372" max="4372" width="24.42578125" style="1" customWidth="1"/>
    <col min="4373" max="4373" width="16.42578125" style="1" customWidth="1"/>
    <col min="4374" max="4374" width="19.28515625" style="1" customWidth="1"/>
    <col min="4375" max="4375" width="27.85546875" style="1" customWidth="1"/>
    <col min="4376" max="4376" width="28.42578125" style="1" customWidth="1"/>
    <col min="4377" max="4377" width="38.85546875" style="1" customWidth="1"/>
    <col min="4378" max="4608" width="9.140625" style="1"/>
    <col min="4609" max="4609" width="6.85546875" style="1" customWidth="1"/>
    <col min="4610" max="4610" width="39" style="1" customWidth="1"/>
    <col min="4611" max="4611" width="25.42578125" style="1" customWidth="1"/>
    <col min="4612" max="4612" width="19.140625" style="1" customWidth="1"/>
    <col min="4613" max="4613" width="18.85546875" style="1" customWidth="1"/>
    <col min="4614" max="4614" width="25.42578125" style="1" customWidth="1"/>
    <col min="4615" max="4615" width="22.85546875" style="1" customWidth="1"/>
    <col min="4616" max="4616" width="63.140625" style="1" customWidth="1"/>
    <col min="4617" max="4617" width="15" style="1" customWidth="1"/>
    <col min="4618" max="4618" width="15.42578125" style="1" customWidth="1"/>
    <col min="4619" max="4619" width="13.28515625" style="1" customWidth="1"/>
    <col min="4620" max="4620" width="15" style="1" customWidth="1"/>
    <col min="4621" max="4621" width="23.42578125" style="1" customWidth="1"/>
    <col min="4622" max="4622" width="27.42578125" style="1" customWidth="1"/>
    <col min="4623" max="4623" width="17.28515625" style="1" customWidth="1"/>
    <col min="4624" max="4625" width="29.85546875" style="1" customWidth="1"/>
    <col min="4626" max="4626" width="17.28515625" style="1" customWidth="1"/>
    <col min="4627" max="4627" width="16.140625" style="1" customWidth="1"/>
    <col min="4628" max="4628" width="24.42578125" style="1" customWidth="1"/>
    <col min="4629" max="4629" width="16.42578125" style="1" customWidth="1"/>
    <col min="4630" max="4630" width="19.28515625" style="1" customWidth="1"/>
    <col min="4631" max="4631" width="27.85546875" style="1" customWidth="1"/>
    <col min="4632" max="4632" width="28.42578125" style="1" customWidth="1"/>
    <col min="4633" max="4633" width="38.85546875" style="1" customWidth="1"/>
    <col min="4634" max="4864" width="9.140625" style="1"/>
    <col min="4865" max="4865" width="6.85546875" style="1" customWidth="1"/>
    <col min="4866" max="4866" width="39" style="1" customWidth="1"/>
    <col min="4867" max="4867" width="25.42578125" style="1" customWidth="1"/>
    <col min="4868" max="4868" width="19.140625" style="1" customWidth="1"/>
    <col min="4869" max="4869" width="18.85546875" style="1" customWidth="1"/>
    <col min="4870" max="4870" width="25.42578125" style="1" customWidth="1"/>
    <col min="4871" max="4871" width="22.85546875" style="1" customWidth="1"/>
    <col min="4872" max="4872" width="63.140625" style="1" customWidth="1"/>
    <col min="4873" max="4873" width="15" style="1" customWidth="1"/>
    <col min="4874" max="4874" width="15.42578125" style="1" customWidth="1"/>
    <col min="4875" max="4875" width="13.28515625" style="1" customWidth="1"/>
    <col min="4876" max="4876" width="15" style="1" customWidth="1"/>
    <col min="4877" max="4877" width="23.42578125" style="1" customWidth="1"/>
    <col min="4878" max="4878" width="27.42578125" style="1" customWidth="1"/>
    <col min="4879" max="4879" width="17.28515625" style="1" customWidth="1"/>
    <col min="4880" max="4881" width="29.85546875" style="1" customWidth="1"/>
    <col min="4882" max="4882" width="17.28515625" style="1" customWidth="1"/>
    <col min="4883" max="4883" width="16.140625" style="1" customWidth="1"/>
    <col min="4884" max="4884" width="24.42578125" style="1" customWidth="1"/>
    <col min="4885" max="4885" width="16.42578125" style="1" customWidth="1"/>
    <col min="4886" max="4886" width="19.28515625" style="1" customWidth="1"/>
    <col min="4887" max="4887" width="27.85546875" style="1" customWidth="1"/>
    <col min="4888" max="4888" width="28.42578125" style="1" customWidth="1"/>
    <col min="4889" max="4889" width="38.85546875" style="1" customWidth="1"/>
    <col min="4890" max="5120" width="9.140625" style="1"/>
    <col min="5121" max="5121" width="6.85546875" style="1" customWidth="1"/>
    <col min="5122" max="5122" width="39" style="1" customWidth="1"/>
    <col min="5123" max="5123" width="25.42578125" style="1" customWidth="1"/>
    <col min="5124" max="5124" width="19.140625" style="1" customWidth="1"/>
    <col min="5125" max="5125" width="18.85546875" style="1" customWidth="1"/>
    <col min="5126" max="5126" width="25.42578125" style="1" customWidth="1"/>
    <col min="5127" max="5127" width="22.85546875" style="1" customWidth="1"/>
    <col min="5128" max="5128" width="63.140625" style="1" customWidth="1"/>
    <col min="5129" max="5129" width="15" style="1" customWidth="1"/>
    <col min="5130" max="5130" width="15.42578125" style="1" customWidth="1"/>
    <col min="5131" max="5131" width="13.28515625" style="1" customWidth="1"/>
    <col min="5132" max="5132" width="15" style="1" customWidth="1"/>
    <col min="5133" max="5133" width="23.42578125" style="1" customWidth="1"/>
    <col min="5134" max="5134" width="27.42578125" style="1" customWidth="1"/>
    <col min="5135" max="5135" width="17.28515625" style="1" customWidth="1"/>
    <col min="5136" max="5137" width="29.85546875" style="1" customWidth="1"/>
    <col min="5138" max="5138" width="17.28515625" style="1" customWidth="1"/>
    <col min="5139" max="5139" width="16.140625" style="1" customWidth="1"/>
    <col min="5140" max="5140" width="24.42578125" style="1" customWidth="1"/>
    <col min="5141" max="5141" width="16.42578125" style="1" customWidth="1"/>
    <col min="5142" max="5142" width="19.28515625" style="1" customWidth="1"/>
    <col min="5143" max="5143" width="27.85546875" style="1" customWidth="1"/>
    <col min="5144" max="5144" width="28.42578125" style="1" customWidth="1"/>
    <col min="5145" max="5145" width="38.85546875" style="1" customWidth="1"/>
    <col min="5146" max="5376" width="9.140625" style="1"/>
    <col min="5377" max="5377" width="6.85546875" style="1" customWidth="1"/>
    <col min="5378" max="5378" width="39" style="1" customWidth="1"/>
    <col min="5379" max="5379" width="25.42578125" style="1" customWidth="1"/>
    <col min="5380" max="5380" width="19.140625" style="1" customWidth="1"/>
    <col min="5381" max="5381" width="18.85546875" style="1" customWidth="1"/>
    <col min="5382" max="5382" width="25.42578125" style="1" customWidth="1"/>
    <col min="5383" max="5383" width="22.85546875" style="1" customWidth="1"/>
    <col min="5384" max="5384" width="63.140625" style="1" customWidth="1"/>
    <col min="5385" max="5385" width="15" style="1" customWidth="1"/>
    <col min="5386" max="5386" width="15.42578125" style="1" customWidth="1"/>
    <col min="5387" max="5387" width="13.28515625" style="1" customWidth="1"/>
    <col min="5388" max="5388" width="15" style="1" customWidth="1"/>
    <col min="5389" max="5389" width="23.42578125" style="1" customWidth="1"/>
    <col min="5390" max="5390" width="27.42578125" style="1" customWidth="1"/>
    <col min="5391" max="5391" width="17.28515625" style="1" customWidth="1"/>
    <col min="5392" max="5393" width="29.85546875" style="1" customWidth="1"/>
    <col min="5394" max="5394" width="17.28515625" style="1" customWidth="1"/>
    <col min="5395" max="5395" width="16.140625" style="1" customWidth="1"/>
    <col min="5396" max="5396" width="24.42578125" style="1" customWidth="1"/>
    <col min="5397" max="5397" width="16.42578125" style="1" customWidth="1"/>
    <col min="5398" max="5398" width="19.28515625" style="1" customWidth="1"/>
    <col min="5399" max="5399" width="27.85546875" style="1" customWidth="1"/>
    <col min="5400" max="5400" width="28.42578125" style="1" customWidth="1"/>
    <col min="5401" max="5401" width="38.85546875" style="1" customWidth="1"/>
    <col min="5402" max="5632" width="9.140625" style="1"/>
    <col min="5633" max="5633" width="6.85546875" style="1" customWidth="1"/>
    <col min="5634" max="5634" width="39" style="1" customWidth="1"/>
    <col min="5635" max="5635" width="25.42578125" style="1" customWidth="1"/>
    <col min="5636" max="5636" width="19.140625" style="1" customWidth="1"/>
    <col min="5637" max="5637" width="18.85546875" style="1" customWidth="1"/>
    <col min="5638" max="5638" width="25.42578125" style="1" customWidth="1"/>
    <col min="5639" max="5639" width="22.85546875" style="1" customWidth="1"/>
    <col min="5640" max="5640" width="63.140625" style="1" customWidth="1"/>
    <col min="5641" max="5641" width="15" style="1" customWidth="1"/>
    <col min="5642" max="5642" width="15.42578125" style="1" customWidth="1"/>
    <col min="5643" max="5643" width="13.28515625" style="1" customWidth="1"/>
    <col min="5644" max="5644" width="15" style="1" customWidth="1"/>
    <col min="5645" max="5645" width="23.42578125" style="1" customWidth="1"/>
    <col min="5646" max="5646" width="27.42578125" style="1" customWidth="1"/>
    <col min="5647" max="5647" width="17.28515625" style="1" customWidth="1"/>
    <col min="5648" max="5649" width="29.85546875" style="1" customWidth="1"/>
    <col min="5650" max="5650" width="17.28515625" style="1" customWidth="1"/>
    <col min="5651" max="5651" width="16.140625" style="1" customWidth="1"/>
    <col min="5652" max="5652" width="24.42578125" style="1" customWidth="1"/>
    <col min="5653" max="5653" width="16.42578125" style="1" customWidth="1"/>
    <col min="5654" max="5654" width="19.28515625" style="1" customWidth="1"/>
    <col min="5655" max="5655" width="27.85546875" style="1" customWidth="1"/>
    <col min="5656" max="5656" width="28.42578125" style="1" customWidth="1"/>
    <col min="5657" max="5657" width="38.85546875" style="1" customWidth="1"/>
    <col min="5658" max="5888" width="9.140625" style="1"/>
    <col min="5889" max="5889" width="6.85546875" style="1" customWidth="1"/>
    <col min="5890" max="5890" width="39" style="1" customWidth="1"/>
    <col min="5891" max="5891" width="25.42578125" style="1" customWidth="1"/>
    <col min="5892" max="5892" width="19.140625" style="1" customWidth="1"/>
    <col min="5893" max="5893" width="18.85546875" style="1" customWidth="1"/>
    <col min="5894" max="5894" width="25.42578125" style="1" customWidth="1"/>
    <col min="5895" max="5895" width="22.85546875" style="1" customWidth="1"/>
    <col min="5896" max="5896" width="63.140625" style="1" customWidth="1"/>
    <col min="5897" max="5897" width="15" style="1" customWidth="1"/>
    <col min="5898" max="5898" width="15.42578125" style="1" customWidth="1"/>
    <col min="5899" max="5899" width="13.28515625" style="1" customWidth="1"/>
    <col min="5900" max="5900" width="15" style="1" customWidth="1"/>
    <col min="5901" max="5901" width="23.42578125" style="1" customWidth="1"/>
    <col min="5902" max="5902" width="27.42578125" style="1" customWidth="1"/>
    <col min="5903" max="5903" width="17.28515625" style="1" customWidth="1"/>
    <col min="5904" max="5905" width="29.85546875" style="1" customWidth="1"/>
    <col min="5906" max="5906" width="17.28515625" style="1" customWidth="1"/>
    <col min="5907" max="5907" width="16.140625" style="1" customWidth="1"/>
    <col min="5908" max="5908" width="24.42578125" style="1" customWidth="1"/>
    <col min="5909" max="5909" width="16.42578125" style="1" customWidth="1"/>
    <col min="5910" max="5910" width="19.28515625" style="1" customWidth="1"/>
    <col min="5911" max="5911" width="27.85546875" style="1" customWidth="1"/>
    <col min="5912" max="5912" width="28.42578125" style="1" customWidth="1"/>
    <col min="5913" max="5913" width="38.85546875" style="1" customWidth="1"/>
    <col min="5914" max="6144" width="9.140625" style="1"/>
    <col min="6145" max="6145" width="6.85546875" style="1" customWidth="1"/>
    <col min="6146" max="6146" width="39" style="1" customWidth="1"/>
    <col min="6147" max="6147" width="25.42578125" style="1" customWidth="1"/>
    <col min="6148" max="6148" width="19.140625" style="1" customWidth="1"/>
    <col min="6149" max="6149" width="18.85546875" style="1" customWidth="1"/>
    <col min="6150" max="6150" width="25.42578125" style="1" customWidth="1"/>
    <col min="6151" max="6151" width="22.85546875" style="1" customWidth="1"/>
    <col min="6152" max="6152" width="63.140625" style="1" customWidth="1"/>
    <col min="6153" max="6153" width="15" style="1" customWidth="1"/>
    <col min="6154" max="6154" width="15.42578125" style="1" customWidth="1"/>
    <col min="6155" max="6155" width="13.28515625" style="1" customWidth="1"/>
    <col min="6156" max="6156" width="15" style="1" customWidth="1"/>
    <col min="6157" max="6157" width="23.42578125" style="1" customWidth="1"/>
    <col min="6158" max="6158" width="27.42578125" style="1" customWidth="1"/>
    <col min="6159" max="6159" width="17.28515625" style="1" customWidth="1"/>
    <col min="6160" max="6161" width="29.85546875" style="1" customWidth="1"/>
    <col min="6162" max="6162" width="17.28515625" style="1" customWidth="1"/>
    <col min="6163" max="6163" width="16.140625" style="1" customWidth="1"/>
    <col min="6164" max="6164" width="24.42578125" style="1" customWidth="1"/>
    <col min="6165" max="6165" width="16.42578125" style="1" customWidth="1"/>
    <col min="6166" max="6166" width="19.28515625" style="1" customWidth="1"/>
    <col min="6167" max="6167" width="27.85546875" style="1" customWidth="1"/>
    <col min="6168" max="6168" width="28.42578125" style="1" customWidth="1"/>
    <col min="6169" max="6169" width="38.85546875" style="1" customWidth="1"/>
    <col min="6170" max="6400" width="9.140625" style="1"/>
    <col min="6401" max="6401" width="6.85546875" style="1" customWidth="1"/>
    <col min="6402" max="6402" width="39" style="1" customWidth="1"/>
    <col min="6403" max="6403" width="25.42578125" style="1" customWidth="1"/>
    <col min="6404" max="6404" width="19.140625" style="1" customWidth="1"/>
    <col min="6405" max="6405" width="18.85546875" style="1" customWidth="1"/>
    <col min="6406" max="6406" width="25.42578125" style="1" customWidth="1"/>
    <col min="6407" max="6407" width="22.85546875" style="1" customWidth="1"/>
    <col min="6408" max="6408" width="63.140625" style="1" customWidth="1"/>
    <col min="6409" max="6409" width="15" style="1" customWidth="1"/>
    <col min="6410" max="6410" width="15.42578125" style="1" customWidth="1"/>
    <col min="6411" max="6411" width="13.28515625" style="1" customWidth="1"/>
    <col min="6412" max="6412" width="15" style="1" customWidth="1"/>
    <col min="6413" max="6413" width="23.42578125" style="1" customWidth="1"/>
    <col min="6414" max="6414" width="27.42578125" style="1" customWidth="1"/>
    <col min="6415" max="6415" width="17.28515625" style="1" customWidth="1"/>
    <col min="6416" max="6417" width="29.85546875" style="1" customWidth="1"/>
    <col min="6418" max="6418" width="17.28515625" style="1" customWidth="1"/>
    <col min="6419" max="6419" width="16.140625" style="1" customWidth="1"/>
    <col min="6420" max="6420" width="24.42578125" style="1" customWidth="1"/>
    <col min="6421" max="6421" width="16.42578125" style="1" customWidth="1"/>
    <col min="6422" max="6422" width="19.28515625" style="1" customWidth="1"/>
    <col min="6423" max="6423" width="27.85546875" style="1" customWidth="1"/>
    <col min="6424" max="6424" width="28.42578125" style="1" customWidth="1"/>
    <col min="6425" max="6425" width="38.85546875" style="1" customWidth="1"/>
    <col min="6426" max="6656" width="9.140625" style="1"/>
    <col min="6657" max="6657" width="6.85546875" style="1" customWidth="1"/>
    <col min="6658" max="6658" width="39" style="1" customWidth="1"/>
    <col min="6659" max="6659" width="25.42578125" style="1" customWidth="1"/>
    <col min="6660" max="6660" width="19.140625" style="1" customWidth="1"/>
    <col min="6661" max="6661" width="18.85546875" style="1" customWidth="1"/>
    <col min="6662" max="6662" width="25.42578125" style="1" customWidth="1"/>
    <col min="6663" max="6663" width="22.85546875" style="1" customWidth="1"/>
    <col min="6664" max="6664" width="63.140625" style="1" customWidth="1"/>
    <col min="6665" max="6665" width="15" style="1" customWidth="1"/>
    <col min="6666" max="6666" width="15.42578125" style="1" customWidth="1"/>
    <col min="6667" max="6667" width="13.28515625" style="1" customWidth="1"/>
    <col min="6668" max="6668" width="15" style="1" customWidth="1"/>
    <col min="6669" max="6669" width="23.42578125" style="1" customWidth="1"/>
    <col min="6670" max="6670" width="27.42578125" style="1" customWidth="1"/>
    <col min="6671" max="6671" width="17.28515625" style="1" customWidth="1"/>
    <col min="6672" max="6673" width="29.85546875" style="1" customWidth="1"/>
    <col min="6674" max="6674" width="17.28515625" style="1" customWidth="1"/>
    <col min="6675" max="6675" width="16.140625" style="1" customWidth="1"/>
    <col min="6676" max="6676" width="24.42578125" style="1" customWidth="1"/>
    <col min="6677" max="6677" width="16.42578125" style="1" customWidth="1"/>
    <col min="6678" max="6678" width="19.28515625" style="1" customWidth="1"/>
    <col min="6679" max="6679" width="27.85546875" style="1" customWidth="1"/>
    <col min="6680" max="6680" width="28.42578125" style="1" customWidth="1"/>
    <col min="6681" max="6681" width="38.85546875" style="1" customWidth="1"/>
    <col min="6682" max="6912" width="9.140625" style="1"/>
    <col min="6913" max="6913" width="6.85546875" style="1" customWidth="1"/>
    <col min="6914" max="6914" width="39" style="1" customWidth="1"/>
    <col min="6915" max="6915" width="25.42578125" style="1" customWidth="1"/>
    <col min="6916" max="6916" width="19.140625" style="1" customWidth="1"/>
    <col min="6917" max="6917" width="18.85546875" style="1" customWidth="1"/>
    <col min="6918" max="6918" width="25.42578125" style="1" customWidth="1"/>
    <col min="6919" max="6919" width="22.85546875" style="1" customWidth="1"/>
    <col min="6920" max="6920" width="63.140625" style="1" customWidth="1"/>
    <col min="6921" max="6921" width="15" style="1" customWidth="1"/>
    <col min="6922" max="6922" width="15.42578125" style="1" customWidth="1"/>
    <col min="6923" max="6923" width="13.28515625" style="1" customWidth="1"/>
    <col min="6924" max="6924" width="15" style="1" customWidth="1"/>
    <col min="6925" max="6925" width="23.42578125" style="1" customWidth="1"/>
    <col min="6926" max="6926" width="27.42578125" style="1" customWidth="1"/>
    <col min="6927" max="6927" width="17.28515625" style="1" customWidth="1"/>
    <col min="6928" max="6929" width="29.85546875" style="1" customWidth="1"/>
    <col min="6930" max="6930" width="17.28515625" style="1" customWidth="1"/>
    <col min="6931" max="6931" width="16.140625" style="1" customWidth="1"/>
    <col min="6932" max="6932" width="24.42578125" style="1" customWidth="1"/>
    <col min="6933" max="6933" width="16.42578125" style="1" customWidth="1"/>
    <col min="6934" max="6934" width="19.28515625" style="1" customWidth="1"/>
    <col min="6935" max="6935" width="27.85546875" style="1" customWidth="1"/>
    <col min="6936" max="6936" width="28.42578125" style="1" customWidth="1"/>
    <col min="6937" max="6937" width="38.85546875" style="1" customWidth="1"/>
    <col min="6938" max="7168" width="9.140625" style="1"/>
    <col min="7169" max="7169" width="6.85546875" style="1" customWidth="1"/>
    <col min="7170" max="7170" width="39" style="1" customWidth="1"/>
    <col min="7171" max="7171" width="25.42578125" style="1" customWidth="1"/>
    <col min="7172" max="7172" width="19.140625" style="1" customWidth="1"/>
    <col min="7173" max="7173" width="18.85546875" style="1" customWidth="1"/>
    <col min="7174" max="7174" width="25.42578125" style="1" customWidth="1"/>
    <col min="7175" max="7175" width="22.85546875" style="1" customWidth="1"/>
    <col min="7176" max="7176" width="63.140625" style="1" customWidth="1"/>
    <col min="7177" max="7177" width="15" style="1" customWidth="1"/>
    <col min="7178" max="7178" width="15.42578125" style="1" customWidth="1"/>
    <col min="7179" max="7179" width="13.28515625" style="1" customWidth="1"/>
    <col min="7180" max="7180" width="15" style="1" customWidth="1"/>
    <col min="7181" max="7181" width="23.42578125" style="1" customWidth="1"/>
    <col min="7182" max="7182" width="27.42578125" style="1" customWidth="1"/>
    <col min="7183" max="7183" width="17.28515625" style="1" customWidth="1"/>
    <col min="7184" max="7185" width="29.85546875" style="1" customWidth="1"/>
    <col min="7186" max="7186" width="17.28515625" style="1" customWidth="1"/>
    <col min="7187" max="7187" width="16.140625" style="1" customWidth="1"/>
    <col min="7188" max="7188" width="24.42578125" style="1" customWidth="1"/>
    <col min="7189" max="7189" width="16.42578125" style="1" customWidth="1"/>
    <col min="7190" max="7190" width="19.28515625" style="1" customWidth="1"/>
    <col min="7191" max="7191" width="27.85546875" style="1" customWidth="1"/>
    <col min="7192" max="7192" width="28.42578125" style="1" customWidth="1"/>
    <col min="7193" max="7193" width="38.85546875" style="1" customWidth="1"/>
    <col min="7194" max="7424" width="9.140625" style="1"/>
    <col min="7425" max="7425" width="6.85546875" style="1" customWidth="1"/>
    <col min="7426" max="7426" width="39" style="1" customWidth="1"/>
    <col min="7427" max="7427" width="25.42578125" style="1" customWidth="1"/>
    <col min="7428" max="7428" width="19.140625" style="1" customWidth="1"/>
    <col min="7429" max="7429" width="18.85546875" style="1" customWidth="1"/>
    <col min="7430" max="7430" width="25.42578125" style="1" customWidth="1"/>
    <col min="7431" max="7431" width="22.85546875" style="1" customWidth="1"/>
    <col min="7432" max="7432" width="63.140625" style="1" customWidth="1"/>
    <col min="7433" max="7433" width="15" style="1" customWidth="1"/>
    <col min="7434" max="7434" width="15.42578125" style="1" customWidth="1"/>
    <col min="7435" max="7435" width="13.28515625" style="1" customWidth="1"/>
    <col min="7436" max="7436" width="15" style="1" customWidth="1"/>
    <col min="7437" max="7437" width="23.42578125" style="1" customWidth="1"/>
    <col min="7438" max="7438" width="27.42578125" style="1" customWidth="1"/>
    <col min="7439" max="7439" width="17.28515625" style="1" customWidth="1"/>
    <col min="7440" max="7441" width="29.85546875" style="1" customWidth="1"/>
    <col min="7442" max="7442" width="17.28515625" style="1" customWidth="1"/>
    <col min="7443" max="7443" width="16.140625" style="1" customWidth="1"/>
    <col min="7444" max="7444" width="24.42578125" style="1" customWidth="1"/>
    <col min="7445" max="7445" width="16.42578125" style="1" customWidth="1"/>
    <col min="7446" max="7446" width="19.28515625" style="1" customWidth="1"/>
    <col min="7447" max="7447" width="27.85546875" style="1" customWidth="1"/>
    <col min="7448" max="7448" width="28.42578125" style="1" customWidth="1"/>
    <col min="7449" max="7449" width="38.85546875" style="1" customWidth="1"/>
    <col min="7450" max="7680" width="9.140625" style="1"/>
    <col min="7681" max="7681" width="6.85546875" style="1" customWidth="1"/>
    <col min="7682" max="7682" width="39" style="1" customWidth="1"/>
    <col min="7683" max="7683" width="25.42578125" style="1" customWidth="1"/>
    <col min="7684" max="7684" width="19.140625" style="1" customWidth="1"/>
    <col min="7685" max="7685" width="18.85546875" style="1" customWidth="1"/>
    <col min="7686" max="7686" width="25.42578125" style="1" customWidth="1"/>
    <col min="7687" max="7687" width="22.85546875" style="1" customWidth="1"/>
    <col min="7688" max="7688" width="63.140625" style="1" customWidth="1"/>
    <col min="7689" max="7689" width="15" style="1" customWidth="1"/>
    <col min="7690" max="7690" width="15.42578125" style="1" customWidth="1"/>
    <col min="7691" max="7691" width="13.28515625" style="1" customWidth="1"/>
    <col min="7692" max="7692" width="15" style="1" customWidth="1"/>
    <col min="7693" max="7693" width="23.42578125" style="1" customWidth="1"/>
    <col min="7694" max="7694" width="27.42578125" style="1" customWidth="1"/>
    <col min="7695" max="7695" width="17.28515625" style="1" customWidth="1"/>
    <col min="7696" max="7697" width="29.85546875" style="1" customWidth="1"/>
    <col min="7698" max="7698" width="17.28515625" style="1" customWidth="1"/>
    <col min="7699" max="7699" width="16.140625" style="1" customWidth="1"/>
    <col min="7700" max="7700" width="24.42578125" style="1" customWidth="1"/>
    <col min="7701" max="7701" width="16.42578125" style="1" customWidth="1"/>
    <col min="7702" max="7702" width="19.28515625" style="1" customWidth="1"/>
    <col min="7703" max="7703" width="27.85546875" style="1" customWidth="1"/>
    <col min="7704" max="7704" width="28.42578125" style="1" customWidth="1"/>
    <col min="7705" max="7705" width="38.85546875" style="1" customWidth="1"/>
    <col min="7706" max="7936" width="9.140625" style="1"/>
    <col min="7937" max="7937" width="6.85546875" style="1" customWidth="1"/>
    <col min="7938" max="7938" width="39" style="1" customWidth="1"/>
    <col min="7939" max="7939" width="25.42578125" style="1" customWidth="1"/>
    <col min="7940" max="7940" width="19.140625" style="1" customWidth="1"/>
    <col min="7941" max="7941" width="18.85546875" style="1" customWidth="1"/>
    <col min="7942" max="7942" width="25.42578125" style="1" customWidth="1"/>
    <col min="7943" max="7943" width="22.85546875" style="1" customWidth="1"/>
    <col min="7944" max="7944" width="63.140625" style="1" customWidth="1"/>
    <col min="7945" max="7945" width="15" style="1" customWidth="1"/>
    <col min="7946" max="7946" width="15.42578125" style="1" customWidth="1"/>
    <col min="7947" max="7947" width="13.28515625" style="1" customWidth="1"/>
    <col min="7948" max="7948" width="15" style="1" customWidth="1"/>
    <col min="7949" max="7949" width="23.42578125" style="1" customWidth="1"/>
    <col min="7950" max="7950" width="27.42578125" style="1" customWidth="1"/>
    <col min="7951" max="7951" width="17.28515625" style="1" customWidth="1"/>
    <col min="7952" max="7953" width="29.85546875" style="1" customWidth="1"/>
    <col min="7954" max="7954" width="17.28515625" style="1" customWidth="1"/>
    <col min="7955" max="7955" width="16.140625" style="1" customWidth="1"/>
    <col min="7956" max="7956" width="24.42578125" style="1" customWidth="1"/>
    <col min="7957" max="7957" width="16.42578125" style="1" customWidth="1"/>
    <col min="7958" max="7958" width="19.28515625" style="1" customWidth="1"/>
    <col min="7959" max="7959" width="27.85546875" style="1" customWidth="1"/>
    <col min="7960" max="7960" width="28.42578125" style="1" customWidth="1"/>
    <col min="7961" max="7961" width="38.85546875" style="1" customWidth="1"/>
    <col min="7962" max="8192" width="9.140625" style="1"/>
    <col min="8193" max="8193" width="6.85546875" style="1" customWidth="1"/>
    <col min="8194" max="8194" width="39" style="1" customWidth="1"/>
    <col min="8195" max="8195" width="25.42578125" style="1" customWidth="1"/>
    <col min="8196" max="8196" width="19.140625" style="1" customWidth="1"/>
    <col min="8197" max="8197" width="18.85546875" style="1" customWidth="1"/>
    <col min="8198" max="8198" width="25.42578125" style="1" customWidth="1"/>
    <col min="8199" max="8199" width="22.85546875" style="1" customWidth="1"/>
    <col min="8200" max="8200" width="63.140625" style="1" customWidth="1"/>
    <col min="8201" max="8201" width="15" style="1" customWidth="1"/>
    <col min="8202" max="8202" width="15.42578125" style="1" customWidth="1"/>
    <col min="8203" max="8203" width="13.28515625" style="1" customWidth="1"/>
    <col min="8204" max="8204" width="15" style="1" customWidth="1"/>
    <col min="8205" max="8205" width="23.42578125" style="1" customWidth="1"/>
    <col min="8206" max="8206" width="27.42578125" style="1" customWidth="1"/>
    <col min="8207" max="8207" width="17.28515625" style="1" customWidth="1"/>
    <col min="8208" max="8209" width="29.85546875" style="1" customWidth="1"/>
    <col min="8210" max="8210" width="17.28515625" style="1" customWidth="1"/>
    <col min="8211" max="8211" width="16.140625" style="1" customWidth="1"/>
    <col min="8212" max="8212" width="24.42578125" style="1" customWidth="1"/>
    <col min="8213" max="8213" width="16.42578125" style="1" customWidth="1"/>
    <col min="8214" max="8214" width="19.28515625" style="1" customWidth="1"/>
    <col min="8215" max="8215" width="27.85546875" style="1" customWidth="1"/>
    <col min="8216" max="8216" width="28.42578125" style="1" customWidth="1"/>
    <col min="8217" max="8217" width="38.85546875" style="1" customWidth="1"/>
    <col min="8218" max="8448" width="9.140625" style="1"/>
    <col min="8449" max="8449" width="6.85546875" style="1" customWidth="1"/>
    <col min="8450" max="8450" width="39" style="1" customWidth="1"/>
    <col min="8451" max="8451" width="25.42578125" style="1" customWidth="1"/>
    <col min="8452" max="8452" width="19.140625" style="1" customWidth="1"/>
    <col min="8453" max="8453" width="18.85546875" style="1" customWidth="1"/>
    <col min="8454" max="8454" width="25.42578125" style="1" customWidth="1"/>
    <col min="8455" max="8455" width="22.85546875" style="1" customWidth="1"/>
    <col min="8456" max="8456" width="63.140625" style="1" customWidth="1"/>
    <col min="8457" max="8457" width="15" style="1" customWidth="1"/>
    <col min="8458" max="8458" width="15.42578125" style="1" customWidth="1"/>
    <col min="8459" max="8459" width="13.28515625" style="1" customWidth="1"/>
    <col min="8460" max="8460" width="15" style="1" customWidth="1"/>
    <col min="8461" max="8461" width="23.42578125" style="1" customWidth="1"/>
    <col min="8462" max="8462" width="27.42578125" style="1" customWidth="1"/>
    <col min="8463" max="8463" width="17.28515625" style="1" customWidth="1"/>
    <col min="8464" max="8465" width="29.85546875" style="1" customWidth="1"/>
    <col min="8466" max="8466" width="17.28515625" style="1" customWidth="1"/>
    <col min="8467" max="8467" width="16.140625" style="1" customWidth="1"/>
    <col min="8468" max="8468" width="24.42578125" style="1" customWidth="1"/>
    <col min="8469" max="8469" width="16.42578125" style="1" customWidth="1"/>
    <col min="8470" max="8470" width="19.28515625" style="1" customWidth="1"/>
    <col min="8471" max="8471" width="27.85546875" style="1" customWidth="1"/>
    <col min="8472" max="8472" width="28.42578125" style="1" customWidth="1"/>
    <col min="8473" max="8473" width="38.85546875" style="1" customWidth="1"/>
    <col min="8474" max="8704" width="9.140625" style="1"/>
    <col min="8705" max="8705" width="6.85546875" style="1" customWidth="1"/>
    <col min="8706" max="8706" width="39" style="1" customWidth="1"/>
    <col min="8707" max="8707" width="25.42578125" style="1" customWidth="1"/>
    <col min="8708" max="8708" width="19.140625" style="1" customWidth="1"/>
    <col min="8709" max="8709" width="18.85546875" style="1" customWidth="1"/>
    <col min="8710" max="8710" width="25.42578125" style="1" customWidth="1"/>
    <col min="8711" max="8711" width="22.85546875" style="1" customWidth="1"/>
    <col min="8712" max="8712" width="63.140625" style="1" customWidth="1"/>
    <col min="8713" max="8713" width="15" style="1" customWidth="1"/>
    <col min="8714" max="8714" width="15.42578125" style="1" customWidth="1"/>
    <col min="8715" max="8715" width="13.28515625" style="1" customWidth="1"/>
    <col min="8716" max="8716" width="15" style="1" customWidth="1"/>
    <col min="8717" max="8717" width="23.42578125" style="1" customWidth="1"/>
    <col min="8718" max="8718" width="27.42578125" style="1" customWidth="1"/>
    <col min="8719" max="8719" width="17.28515625" style="1" customWidth="1"/>
    <col min="8720" max="8721" width="29.85546875" style="1" customWidth="1"/>
    <col min="8722" max="8722" width="17.28515625" style="1" customWidth="1"/>
    <col min="8723" max="8723" width="16.140625" style="1" customWidth="1"/>
    <col min="8724" max="8724" width="24.42578125" style="1" customWidth="1"/>
    <col min="8725" max="8725" width="16.42578125" style="1" customWidth="1"/>
    <col min="8726" max="8726" width="19.28515625" style="1" customWidth="1"/>
    <col min="8727" max="8727" width="27.85546875" style="1" customWidth="1"/>
    <col min="8728" max="8728" width="28.42578125" style="1" customWidth="1"/>
    <col min="8729" max="8729" width="38.85546875" style="1" customWidth="1"/>
    <col min="8730" max="8960" width="9.140625" style="1"/>
    <col min="8961" max="8961" width="6.85546875" style="1" customWidth="1"/>
    <col min="8962" max="8962" width="39" style="1" customWidth="1"/>
    <col min="8963" max="8963" width="25.42578125" style="1" customWidth="1"/>
    <col min="8964" max="8964" width="19.140625" style="1" customWidth="1"/>
    <col min="8965" max="8965" width="18.85546875" style="1" customWidth="1"/>
    <col min="8966" max="8966" width="25.42578125" style="1" customWidth="1"/>
    <col min="8967" max="8967" width="22.85546875" style="1" customWidth="1"/>
    <col min="8968" max="8968" width="63.140625" style="1" customWidth="1"/>
    <col min="8969" max="8969" width="15" style="1" customWidth="1"/>
    <col min="8970" max="8970" width="15.42578125" style="1" customWidth="1"/>
    <col min="8971" max="8971" width="13.28515625" style="1" customWidth="1"/>
    <col min="8972" max="8972" width="15" style="1" customWidth="1"/>
    <col min="8973" max="8973" width="23.42578125" style="1" customWidth="1"/>
    <col min="8974" max="8974" width="27.42578125" style="1" customWidth="1"/>
    <col min="8975" max="8975" width="17.28515625" style="1" customWidth="1"/>
    <col min="8976" max="8977" width="29.85546875" style="1" customWidth="1"/>
    <col min="8978" max="8978" width="17.28515625" style="1" customWidth="1"/>
    <col min="8979" max="8979" width="16.140625" style="1" customWidth="1"/>
    <col min="8980" max="8980" width="24.42578125" style="1" customWidth="1"/>
    <col min="8981" max="8981" width="16.42578125" style="1" customWidth="1"/>
    <col min="8982" max="8982" width="19.28515625" style="1" customWidth="1"/>
    <col min="8983" max="8983" width="27.85546875" style="1" customWidth="1"/>
    <col min="8984" max="8984" width="28.42578125" style="1" customWidth="1"/>
    <col min="8985" max="8985" width="38.85546875" style="1" customWidth="1"/>
    <col min="8986" max="9216" width="9.140625" style="1"/>
    <col min="9217" max="9217" width="6.85546875" style="1" customWidth="1"/>
    <col min="9218" max="9218" width="39" style="1" customWidth="1"/>
    <col min="9219" max="9219" width="25.42578125" style="1" customWidth="1"/>
    <col min="9220" max="9220" width="19.140625" style="1" customWidth="1"/>
    <col min="9221" max="9221" width="18.85546875" style="1" customWidth="1"/>
    <col min="9222" max="9222" width="25.42578125" style="1" customWidth="1"/>
    <col min="9223" max="9223" width="22.85546875" style="1" customWidth="1"/>
    <col min="9224" max="9224" width="63.140625" style="1" customWidth="1"/>
    <col min="9225" max="9225" width="15" style="1" customWidth="1"/>
    <col min="9226" max="9226" width="15.42578125" style="1" customWidth="1"/>
    <col min="9227" max="9227" width="13.28515625" style="1" customWidth="1"/>
    <col min="9228" max="9228" width="15" style="1" customWidth="1"/>
    <col min="9229" max="9229" width="23.42578125" style="1" customWidth="1"/>
    <col min="9230" max="9230" width="27.42578125" style="1" customWidth="1"/>
    <col min="9231" max="9231" width="17.28515625" style="1" customWidth="1"/>
    <col min="9232" max="9233" width="29.85546875" style="1" customWidth="1"/>
    <col min="9234" max="9234" width="17.28515625" style="1" customWidth="1"/>
    <col min="9235" max="9235" width="16.140625" style="1" customWidth="1"/>
    <col min="9236" max="9236" width="24.42578125" style="1" customWidth="1"/>
    <col min="9237" max="9237" width="16.42578125" style="1" customWidth="1"/>
    <col min="9238" max="9238" width="19.28515625" style="1" customWidth="1"/>
    <col min="9239" max="9239" width="27.85546875" style="1" customWidth="1"/>
    <col min="9240" max="9240" width="28.42578125" style="1" customWidth="1"/>
    <col min="9241" max="9241" width="38.85546875" style="1" customWidth="1"/>
    <col min="9242" max="9472" width="9.140625" style="1"/>
    <col min="9473" max="9473" width="6.85546875" style="1" customWidth="1"/>
    <col min="9474" max="9474" width="39" style="1" customWidth="1"/>
    <col min="9475" max="9475" width="25.42578125" style="1" customWidth="1"/>
    <col min="9476" max="9476" width="19.140625" style="1" customWidth="1"/>
    <col min="9477" max="9477" width="18.85546875" style="1" customWidth="1"/>
    <col min="9478" max="9478" width="25.42578125" style="1" customWidth="1"/>
    <col min="9479" max="9479" width="22.85546875" style="1" customWidth="1"/>
    <col min="9480" max="9480" width="63.140625" style="1" customWidth="1"/>
    <col min="9481" max="9481" width="15" style="1" customWidth="1"/>
    <col min="9482" max="9482" width="15.42578125" style="1" customWidth="1"/>
    <col min="9483" max="9483" width="13.28515625" style="1" customWidth="1"/>
    <col min="9484" max="9484" width="15" style="1" customWidth="1"/>
    <col min="9485" max="9485" width="23.42578125" style="1" customWidth="1"/>
    <col min="9486" max="9486" width="27.42578125" style="1" customWidth="1"/>
    <col min="9487" max="9487" width="17.28515625" style="1" customWidth="1"/>
    <col min="9488" max="9489" width="29.85546875" style="1" customWidth="1"/>
    <col min="9490" max="9490" width="17.28515625" style="1" customWidth="1"/>
    <col min="9491" max="9491" width="16.140625" style="1" customWidth="1"/>
    <col min="9492" max="9492" width="24.42578125" style="1" customWidth="1"/>
    <col min="9493" max="9493" width="16.42578125" style="1" customWidth="1"/>
    <col min="9494" max="9494" width="19.28515625" style="1" customWidth="1"/>
    <col min="9495" max="9495" width="27.85546875" style="1" customWidth="1"/>
    <col min="9496" max="9496" width="28.42578125" style="1" customWidth="1"/>
    <col min="9497" max="9497" width="38.85546875" style="1" customWidth="1"/>
    <col min="9498" max="9728" width="9.140625" style="1"/>
    <col min="9729" max="9729" width="6.85546875" style="1" customWidth="1"/>
    <col min="9730" max="9730" width="39" style="1" customWidth="1"/>
    <col min="9731" max="9731" width="25.42578125" style="1" customWidth="1"/>
    <col min="9732" max="9732" width="19.140625" style="1" customWidth="1"/>
    <col min="9733" max="9733" width="18.85546875" style="1" customWidth="1"/>
    <col min="9734" max="9734" width="25.42578125" style="1" customWidth="1"/>
    <col min="9735" max="9735" width="22.85546875" style="1" customWidth="1"/>
    <col min="9736" max="9736" width="63.140625" style="1" customWidth="1"/>
    <col min="9737" max="9737" width="15" style="1" customWidth="1"/>
    <col min="9738" max="9738" width="15.42578125" style="1" customWidth="1"/>
    <col min="9739" max="9739" width="13.28515625" style="1" customWidth="1"/>
    <col min="9740" max="9740" width="15" style="1" customWidth="1"/>
    <col min="9741" max="9741" width="23.42578125" style="1" customWidth="1"/>
    <col min="9742" max="9742" width="27.42578125" style="1" customWidth="1"/>
    <col min="9743" max="9743" width="17.28515625" style="1" customWidth="1"/>
    <col min="9744" max="9745" width="29.85546875" style="1" customWidth="1"/>
    <col min="9746" max="9746" width="17.28515625" style="1" customWidth="1"/>
    <col min="9747" max="9747" width="16.140625" style="1" customWidth="1"/>
    <col min="9748" max="9748" width="24.42578125" style="1" customWidth="1"/>
    <col min="9749" max="9749" width="16.42578125" style="1" customWidth="1"/>
    <col min="9750" max="9750" width="19.28515625" style="1" customWidth="1"/>
    <col min="9751" max="9751" width="27.85546875" style="1" customWidth="1"/>
    <col min="9752" max="9752" width="28.42578125" style="1" customWidth="1"/>
    <col min="9753" max="9753" width="38.85546875" style="1" customWidth="1"/>
    <col min="9754" max="9984" width="9.140625" style="1"/>
    <col min="9985" max="9985" width="6.85546875" style="1" customWidth="1"/>
    <col min="9986" max="9986" width="39" style="1" customWidth="1"/>
    <col min="9987" max="9987" width="25.42578125" style="1" customWidth="1"/>
    <col min="9988" max="9988" width="19.140625" style="1" customWidth="1"/>
    <col min="9989" max="9989" width="18.85546875" style="1" customWidth="1"/>
    <col min="9990" max="9990" width="25.42578125" style="1" customWidth="1"/>
    <col min="9991" max="9991" width="22.85546875" style="1" customWidth="1"/>
    <col min="9992" max="9992" width="63.140625" style="1" customWidth="1"/>
    <col min="9993" max="9993" width="15" style="1" customWidth="1"/>
    <col min="9994" max="9994" width="15.42578125" style="1" customWidth="1"/>
    <col min="9995" max="9995" width="13.28515625" style="1" customWidth="1"/>
    <col min="9996" max="9996" width="15" style="1" customWidth="1"/>
    <col min="9997" max="9997" width="23.42578125" style="1" customWidth="1"/>
    <col min="9998" max="9998" width="27.42578125" style="1" customWidth="1"/>
    <col min="9999" max="9999" width="17.28515625" style="1" customWidth="1"/>
    <col min="10000" max="10001" width="29.85546875" style="1" customWidth="1"/>
    <col min="10002" max="10002" width="17.28515625" style="1" customWidth="1"/>
    <col min="10003" max="10003" width="16.140625" style="1" customWidth="1"/>
    <col min="10004" max="10004" width="24.42578125" style="1" customWidth="1"/>
    <col min="10005" max="10005" width="16.42578125" style="1" customWidth="1"/>
    <col min="10006" max="10006" width="19.28515625" style="1" customWidth="1"/>
    <col min="10007" max="10007" width="27.85546875" style="1" customWidth="1"/>
    <col min="10008" max="10008" width="28.42578125" style="1" customWidth="1"/>
    <col min="10009" max="10009" width="38.85546875" style="1" customWidth="1"/>
    <col min="10010" max="10240" width="9.140625" style="1"/>
    <col min="10241" max="10241" width="6.85546875" style="1" customWidth="1"/>
    <col min="10242" max="10242" width="39" style="1" customWidth="1"/>
    <col min="10243" max="10243" width="25.42578125" style="1" customWidth="1"/>
    <col min="10244" max="10244" width="19.140625" style="1" customWidth="1"/>
    <col min="10245" max="10245" width="18.85546875" style="1" customWidth="1"/>
    <col min="10246" max="10246" width="25.42578125" style="1" customWidth="1"/>
    <col min="10247" max="10247" width="22.85546875" style="1" customWidth="1"/>
    <col min="10248" max="10248" width="63.140625" style="1" customWidth="1"/>
    <col min="10249" max="10249" width="15" style="1" customWidth="1"/>
    <col min="10250" max="10250" width="15.42578125" style="1" customWidth="1"/>
    <col min="10251" max="10251" width="13.28515625" style="1" customWidth="1"/>
    <col min="10252" max="10252" width="15" style="1" customWidth="1"/>
    <col min="10253" max="10253" width="23.42578125" style="1" customWidth="1"/>
    <col min="10254" max="10254" width="27.42578125" style="1" customWidth="1"/>
    <col min="10255" max="10255" width="17.28515625" style="1" customWidth="1"/>
    <col min="10256" max="10257" width="29.85546875" style="1" customWidth="1"/>
    <col min="10258" max="10258" width="17.28515625" style="1" customWidth="1"/>
    <col min="10259" max="10259" width="16.140625" style="1" customWidth="1"/>
    <col min="10260" max="10260" width="24.42578125" style="1" customWidth="1"/>
    <col min="10261" max="10261" width="16.42578125" style="1" customWidth="1"/>
    <col min="10262" max="10262" width="19.28515625" style="1" customWidth="1"/>
    <col min="10263" max="10263" width="27.85546875" style="1" customWidth="1"/>
    <col min="10264" max="10264" width="28.42578125" style="1" customWidth="1"/>
    <col min="10265" max="10265" width="38.85546875" style="1" customWidth="1"/>
    <col min="10266" max="10496" width="9.140625" style="1"/>
    <col min="10497" max="10497" width="6.85546875" style="1" customWidth="1"/>
    <col min="10498" max="10498" width="39" style="1" customWidth="1"/>
    <col min="10499" max="10499" width="25.42578125" style="1" customWidth="1"/>
    <col min="10500" max="10500" width="19.140625" style="1" customWidth="1"/>
    <col min="10501" max="10501" width="18.85546875" style="1" customWidth="1"/>
    <col min="10502" max="10502" width="25.42578125" style="1" customWidth="1"/>
    <col min="10503" max="10503" width="22.85546875" style="1" customWidth="1"/>
    <col min="10504" max="10504" width="63.140625" style="1" customWidth="1"/>
    <col min="10505" max="10505" width="15" style="1" customWidth="1"/>
    <col min="10506" max="10506" width="15.42578125" style="1" customWidth="1"/>
    <col min="10507" max="10507" width="13.28515625" style="1" customWidth="1"/>
    <col min="10508" max="10508" width="15" style="1" customWidth="1"/>
    <col min="10509" max="10509" width="23.42578125" style="1" customWidth="1"/>
    <col min="10510" max="10510" width="27.42578125" style="1" customWidth="1"/>
    <col min="10511" max="10511" width="17.28515625" style="1" customWidth="1"/>
    <col min="10512" max="10513" width="29.85546875" style="1" customWidth="1"/>
    <col min="10514" max="10514" width="17.28515625" style="1" customWidth="1"/>
    <col min="10515" max="10515" width="16.140625" style="1" customWidth="1"/>
    <col min="10516" max="10516" width="24.42578125" style="1" customWidth="1"/>
    <col min="10517" max="10517" width="16.42578125" style="1" customWidth="1"/>
    <col min="10518" max="10518" width="19.28515625" style="1" customWidth="1"/>
    <col min="10519" max="10519" width="27.85546875" style="1" customWidth="1"/>
    <col min="10520" max="10520" width="28.42578125" style="1" customWidth="1"/>
    <col min="10521" max="10521" width="38.85546875" style="1" customWidth="1"/>
    <col min="10522" max="10752" width="9.140625" style="1"/>
    <col min="10753" max="10753" width="6.85546875" style="1" customWidth="1"/>
    <col min="10754" max="10754" width="39" style="1" customWidth="1"/>
    <col min="10755" max="10755" width="25.42578125" style="1" customWidth="1"/>
    <col min="10756" max="10756" width="19.140625" style="1" customWidth="1"/>
    <col min="10757" max="10757" width="18.85546875" style="1" customWidth="1"/>
    <col min="10758" max="10758" width="25.42578125" style="1" customWidth="1"/>
    <col min="10759" max="10759" width="22.85546875" style="1" customWidth="1"/>
    <col min="10760" max="10760" width="63.140625" style="1" customWidth="1"/>
    <col min="10761" max="10761" width="15" style="1" customWidth="1"/>
    <col min="10762" max="10762" width="15.42578125" style="1" customWidth="1"/>
    <col min="10763" max="10763" width="13.28515625" style="1" customWidth="1"/>
    <col min="10764" max="10764" width="15" style="1" customWidth="1"/>
    <col min="10765" max="10765" width="23.42578125" style="1" customWidth="1"/>
    <col min="10766" max="10766" width="27.42578125" style="1" customWidth="1"/>
    <col min="10767" max="10767" width="17.28515625" style="1" customWidth="1"/>
    <col min="10768" max="10769" width="29.85546875" style="1" customWidth="1"/>
    <col min="10770" max="10770" width="17.28515625" style="1" customWidth="1"/>
    <col min="10771" max="10771" width="16.140625" style="1" customWidth="1"/>
    <col min="10772" max="10772" width="24.42578125" style="1" customWidth="1"/>
    <col min="10773" max="10773" width="16.42578125" style="1" customWidth="1"/>
    <col min="10774" max="10774" width="19.28515625" style="1" customWidth="1"/>
    <col min="10775" max="10775" width="27.85546875" style="1" customWidth="1"/>
    <col min="10776" max="10776" width="28.42578125" style="1" customWidth="1"/>
    <col min="10777" max="10777" width="38.85546875" style="1" customWidth="1"/>
    <col min="10778" max="11008" width="9.140625" style="1"/>
    <col min="11009" max="11009" width="6.85546875" style="1" customWidth="1"/>
    <col min="11010" max="11010" width="39" style="1" customWidth="1"/>
    <col min="11011" max="11011" width="25.42578125" style="1" customWidth="1"/>
    <col min="11012" max="11012" width="19.140625" style="1" customWidth="1"/>
    <col min="11013" max="11013" width="18.85546875" style="1" customWidth="1"/>
    <col min="11014" max="11014" width="25.42578125" style="1" customWidth="1"/>
    <col min="11015" max="11015" width="22.85546875" style="1" customWidth="1"/>
    <col min="11016" max="11016" width="63.140625" style="1" customWidth="1"/>
    <col min="11017" max="11017" width="15" style="1" customWidth="1"/>
    <col min="11018" max="11018" width="15.42578125" style="1" customWidth="1"/>
    <col min="11019" max="11019" width="13.28515625" style="1" customWidth="1"/>
    <col min="11020" max="11020" width="15" style="1" customWidth="1"/>
    <col min="11021" max="11021" width="23.42578125" style="1" customWidth="1"/>
    <col min="11022" max="11022" width="27.42578125" style="1" customWidth="1"/>
    <col min="11023" max="11023" width="17.28515625" style="1" customWidth="1"/>
    <col min="11024" max="11025" width="29.85546875" style="1" customWidth="1"/>
    <col min="11026" max="11026" width="17.28515625" style="1" customWidth="1"/>
    <col min="11027" max="11027" width="16.140625" style="1" customWidth="1"/>
    <col min="11028" max="11028" width="24.42578125" style="1" customWidth="1"/>
    <col min="11029" max="11029" width="16.42578125" style="1" customWidth="1"/>
    <col min="11030" max="11030" width="19.28515625" style="1" customWidth="1"/>
    <col min="11031" max="11031" width="27.85546875" style="1" customWidth="1"/>
    <col min="11032" max="11032" width="28.42578125" style="1" customWidth="1"/>
    <col min="11033" max="11033" width="38.85546875" style="1" customWidth="1"/>
    <col min="11034" max="11264" width="9.140625" style="1"/>
    <col min="11265" max="11265" width="6.85546875" style="1" customWidth="1"/>
    <col min="11266" max="11266" width="39" style="1" customWidth="1"/>
    <col min="11267" max="11267" width="25.42578125" style="1" customWidth="1"/>
    <col min="11268" max="11268" width="19.140625" style="1" customWidth="1"/>
    <col min="11269" max="11269" width="18.85546875" style="1" customWidth="1"/>
    <col min="11270" max="11270" width="25.42578125" style="1" customWidth="1"/>
    <col min="11271" max="11271" width="22.85546875" style="1" customWidth="1"/>
    <col min="11272" max="11272" width="63.140625" style="1" customWidth="1"/>
    <col min="11273" max="11273" width="15" style="1" customWidth="1"/>
    <col min="11274" max="11274" width="15.42578125" style="1" customWidth="1"/>
    <col min="11275" max="11275" width="13.28515625" style="1" customWidth="1"/>
    <col min="11276" max="11276" width="15" style="1" customWidth="1"/>
    <col min="11277" max="11277" width="23.42578125" style="1" customWidth="1"/>
    <col min="11278" max="11278" width="27.42578125" style="1" customWidth="1"/>
    <col min="11279" max="11279" width="17.28515625" style="1" customWidth="1"/>
    <col min="11280" max="11281" width="29.85546875" style="1" customWidth="1"/>
    <col min="11282" max="11282" width="17.28515625" style="1" customWidth="1"/>
    <col min="11283" max="11283" width="16.140625" style="1" customWidth="1"/>
    <col min="11284" max="11284" width="24.42578125" style="1" customWidth="1"/>
    <col min="11285" max="11285" width="16.42578125" style="1" customWidth="1"/>
    <col min="11286" max="11286" width="19.28515625" style="1" customWidth="1"/>
    <col min="11287" max="11287" width="27.85546875" style="1" customWidth="1"/>
    <col min="11288" max="11288" width="28.42578125" style="1" customWidth="1"/>
    <col min="11289" max="11289" width="38.85546875" style="1" customWidth="1"/>
    <col min="11290" max="11520" width="9.140625" style="1"/>
    <col min="11521" max="11521" width="6.85546875" style="1" customWidth="1"/>
    <col min="11522" max="11522" width="39" style="1" customWidth="1"/>
    <col min="11523" max="11523" width="25.42578125" style="1" customWidth="1"/>
    <col min="11524" max="11524" width="19.140625" style="1" customWidth="1"/>
    <col min="11525" max="11525" width="18.85546875" style="1" customWidth="1"/>
    <col min="11526" max="11526" width="25.42578125" style="1" customWidth="1"/>
    <col min="11527" max="11527" width="22.85546875" style="1" customWidth="1"/>
    <col min="11528" max="11528" width="63.140625" style="1" customWidth="1"/>
    <col min="11529" max="11529" width="15" style="1" customWidth="1"/>
    <col min="11530" max="11530" width="15.42578125" style="1" customWidth="1"/>
    <col min="11531" max="11531" width="13.28515625" style="1" customWidth="1"/>
    <col min="11532" max="11532" width="15" style="1" customWidth="1"/>
    <col min="11533" max="11533" width="23.42578125" style="1" customWidth="1"/>
    <col min="11534" max="11534" width="27.42578125" style="1" customWidth="1"/>
    <col min="11535" max="11535" width="17.28515625" style="1" customWidth="1"/>
    <col min="11536" max="11537" width="29.85546875" style="1" customWidth="1"/>
    <col min="11538" max="11538" width="17.28515625" style="1" customWidth="1"/>
    <col min="11539" max="11539" width="16.140625" style="1" customWidth="1"/>
    <col min="11540" max="11540" width="24.42578125" style="1" customWidth="1"/>
    <col min="11541" max="11541" width="16.42578125" style="1" customWidth="1"/>
    <col min="11542" max="11542" width="19.28515625" style="1" customWidth="1"/>
    <col min="11543" max="11543" width="27.85546875" style="1" customWidth="1"/>
    <col min="11544" max="11544" width="28.42578125" style="1" customWidth="1"/>
    <col min="11545" max="11545" width="38.85546875" style="1" customWidth="1"/>
    <col min="11546" max="11776" width="9.140625" style="1"/>
    <col min="11777" max="11777" width="6.85546875" style="1" customWidth="1"/>
    <col min="11778" max="11778" width="39" style="1" customWidth="1"/>
    <col min="11779" max="11779" width="25.42578125" style="1" customWidth="1"/>
    <col min="11780" max="11780" width="19.140625" style="1" customWidth="1"/>
    <col min="11781" max="11781" width="18.85546875" style="1" customWidth="1"/>
    <col min="11782" max="11782" width="25.42578125" style="1" customWidth="1"/>
    <col min="11783" max="11783" width="22.85546875" style="1" customWidth="1"/>
    <col min="11784" max="11784" width="63.140625" style="1" customWidth="1"/>
    <col min="11785" max="11785" width="15" style="1" customWidth="1"/>
    <col min="11786" max="11786" width="15.42578125" style="1" customWidth="1"/>
    <col min="11787" max="11787" width="13.28515625" style="1" customWidth="1"/>
    <col min="11788" max="11788" width="15" style="1" customWidth="1"/>
    <col min="11789" max="11789" width="23.42578125" style="1" customWidth="1"/>
    <col min="11790" max="11790" width="27.42578125" style="1" customWidth="1"/>
    <col min="11791" max="11791" width="17.28515625" style="1" customWidth="1"/>
    <col min="11792" max="11793" width="29.85546875" style="1" customWidth="1"/>
    <col min="11794" max="11794" width="17.28515625" style="1" customWidth="1"/>
    <col min="11795" max="11795" width="16.140625" style="1" customWidth="1"/>
    <col min="11796" max="11796" width="24.42578125" style="1" customWidth="1"/>
    <col min="11797" max="11797" width="16.42578125" style="1" customWidth="1"/>
    <col min="11798" max="11798" width="19.28515625" style="1" customWidth="1"/>
    <col min="11799" max="11799" width="27.85546875" style="1" customWidth="1"/>
    <col min="11800" max="11800" width="28.42578125" style="1" customWidth="1"/>
    <col min="11801" max="11801" width="38.85546875" style="1" customWidth="1"/>
    <col min="11802" max="12032" width="9.140625" style="1"/>
    <col min="12033" max="12033" width="6.85546875" style="1" customWidth="1"/>
    <col min="12034" max="12034" width="39" style="1" customWidth="1"/>
    <col min="12035" max="12035" width="25.42578125" style="1" customWidth="1"/>
    <col min="12036" max="12036" width="19.140625" style="1" customWidth="1"/>
    <col min="12037" max="12037" width="18.85546875" style="1" customWidth="1"/>
    <col min="12038" max="12038" width="25.42578125" style="1" customWidth="1"/>
    <col min="12039" max="12039" width="22.85546875" style="1" customWidth="1"/>
    <col min="12040" max="12040" width="63.140625" style="1" customWidth="1"/>
    <col min="12041" max="12041" width="15" style="1" customWidth="1"/>
    <col min="12042" max="12042" width="15.42578125" style="1" customWidth="1"/>
    <col min="12043" max="12043" width="13.28515625" style="1" customWidth="1"/>
    <col min="12044" max="12044" width="15" style="1" customWidth="1"/>
    <col min="12045" max="12045" width="23.42578125" style="1" customWidth="1"/>
    <col min="12046" max="12046" width="27.42578125" style="1" customWidth="1"/>
    <col min="12047" max="12047" width="17.28515625" style="1" customWidth="1"/>
    <col min="12048" max="12049" width="29.85546875" style="1" customWidth="1"/>
    <col min="12050" max="12050" width="17.28515625" style="1" customWidth="1"/>
    <col min="12051" max="12051" width="16.140625" style="1" customWidth="1"/>
    <col min="12052" max="12052" width="24.42578125" style="1" customWidth="1"/>
    <col min="12053" max="12053" width="16.42578125" style="1" customWidth="1"/>
    <col min="12054" max="12054" width="19.28515625" style="1" customWidth="1"/>
    <col min="12055" max="12055" width="27.85546875" style="1" customWidth="1"/>
    <col min="12056" max="12056" width="28.42578125" style="1" customWidth="1"/>
    <col min="12057" max="12057" width="38.85546875" style="1" customWidth="1"/>
    <col min="12058" max="12288" width="9.140625" style="1"/>
    <col min="12289" max="12289" width="6.85546875" style="1" customWidth="1"/>
    <col min="12290" max="12290" width="39" style="1" customWidth="1"/>
    <col min="12291" max="12291" width="25.42578125" style="1" customWidth="1"/>
    <col min="12292" max="12292" width="19.140625" style="1" customWidth="1"/>
    <col min="12293" max="12293" width="18.85546875" style="1" customWidth="1"/>
    <col min="12294" max="12294" width="25.42578125" style="1" customWidth="1"/>
    <col min="12295" max="12295" width="22.85546875" style="1" customWidth="1"/>
    <col min="12296" max="12296" width="63.140625" style="1" customWidth="1"/>
    <col min="12297" max="12297" width="15" style="1" customWidth="1"/>
    <col min="12298" max="12298" width="15.42578125" style="1" customWidth="1"/>
    <col min="12299" max="12299" width="13.28515625" style="1" customWidth="1"/>
    <col min="12300" max="12300" width="15" style="1" customWidth="1"/>
    <col min="12301" max="12301" width="23.42578125" style="1" customWidth="1"/>
    <col min="12302" max="12302" width="27.42578125" style="1" customWidth="1"/>
    <col min="12303" max="12303" width="17.28515625" style="1" customWidth="1"/>
    <col min="12304" max="12305" width="29.85546875" style="1" customWidth="1"/>
    <col min="12306" max="12306" width="17.28515625" style="1" customWidth="1"/>
    <col min="12307" max="12307" width="16.140625" style="1" customWidth="1"/>
    <col min="12308" max="12308" width="24.42578125" style="1" customWidth="1"/>
    <col min="12309" max="12309" width="16.42578125" style="1" customWidth="1"/>
    <col min="12310" max="12310" width="19.28515625" style="1" customWidth="1"/>
    <col min="12311" max="12311" width="27.85546875" style="1" customWidth="1"/>
    <col min="12312" max="12312" width="28.42578125" style="1" customWidth="1"/>
    <col min="12313" max="12313" width="38.85546875" style="1" customWidth="1"/>
    <col min="12314" max="12544" width="9.140625" style="1"/>
    <col min="12545" max="12545" width="6.85546875" style="1" customWidth="1"/>
    <col min="12546" max="12546" width="39" style="1" customWidth="1"/>
    <col min="12547" max="12547" width="25.42578125" style="1" customWidth="1"/>
    <col min="12548" max="12548" width="19.140625" style="1" customWidth="1"/>
    <col min="12549" max="12549" width="18.85546875" style="1" customWidth="1"/>
    <col min="12550" max="12550" width="25.42578125" style="1" customWidth="1"/>
    <col min="12551" max="12551" width="22.85546875" style="1" customWidth="1"/>
    <col min="12552" max="12552" width="63.140625" style="1" customWidth="1"/>
    <col min="12553" max="12553" width="15" style="1" customWidth="1"/>
    <col min="12554" max="12554" width="15.42578125" style="1" customWidth="1"/>
    <col min="12555" max="12555" width="13.28515625" style="1" customWidth="1"/>
    <col min="12556" max="12556" width="15" style="1" customWidth="1"/>
    <col min="12557" max="12557" width="23.42578125" style="1" customWidth="1"/>
    <col min="12558" max="12558" width="27.42578125" style="1" customWidth="1"/>
    <col min="12559" max="12559" width="17.28515625" style="1" customWidth="1"/>
    <col min="12560" max="12561" width="29.85546875" style="1" customWidth="1"/>
    <col min="12562" max="12562" width="17.28515625" style="1" customWidth="1"/>
    <col min="12563" max="12563" width="16.140625" style="1" customWidth="1"/>
    <col min="12564" max="12564" width="24.42578125" style="1" customWidth="1"/>
    <col min="12565" max="12565" width="16.42578125" style="1" customWidth="1"/>
    <col min="12566" max="12566" width="19.28515625" style="1" customWidth="1"/>
    <col min="12567" max="12567" width="27.85546875" style="1" customWidth="1"/>
    <col min="12568" max="12568" width="28.42578125" style="1" customWidth="1"/>
    <col min="12569" max="12569" width="38.85546875" style="1" customWidth="1"/>
    <col min="12570" max="12800" width="9.140625" style="1"/>
    <col min="12801" max="12801" width="6.85546875" style="1" customWidth="1"/>
    <col min="12802" max="12802" width="39" style="1" customWidth="1"/>
    <col min="12803" max="12803" width="25.42578125" style="1" customWidth="1"/>
    <col min="12804" max="12804" width="19.140625" style="1" customWidth="1"/>
    <col min="12805" max="12805" width="18.85546875" style="1" customWidth="1"/>
    <col min="12806" max="12806" width="25.42578125" style="1" customWidth="1"/>
    <col min="12807" max="12807" width="22.85546875" style="1" customWidth="1"/>
    <col min="12808" max="12808" width="63.140625" style="1" customWidth="1"/>
    <col min="12809" max="12809" width="15" style="1" customWidth="1"/>
    <col min="12810" max="12810" width="15.42578125" style="1" customWidth="1"/>
    <col min="12811" max="12811" width="13.28515625" style="1" customWidth="1"/>
    <col min="12812" max="12812" width="15" style="1" customWidth="1"/>
    <col min="12813" max="12813" width="23.42578125" style="1" customWidth="1"/>
    <col min="12814" max="12814" width="27.42578125" style="1" customWidth="1"/>
    <col min="12815" max="12815" width="17.28515625" style="1" customWidth="1"/>
    <col min="12816" max="12817" width="29.85546875" style="1" customWidth="1"/>
    <col min="12818" max="12818" width="17.28515625" style="1" customWidth="1"/>
    <col min="12819" max="12819" width="16.140625" style="1" customWidth="1"/>
    <col min="12820" max="12820" width="24.42578125" style="1" customWidth="1"/>
    <col min="12821" max="12821" width="16.42578125" style="1" customWidth="1"/>
    <col min="12822" max="12822" width="19.28515625" style="1" customWidth="1"/>
    <col min="12823" max="12823" width="27.85546875" style="1" customWidth="1"/>
    <col min="12824" max="12824" width="28.42578125" style="1" customWidth="1"/>
    <col min="12825" max="12825" width="38.85546875" style="1" customWidth="1"/>
    <col min="12826" max="13056" width="9.140625" style="1"/>
    <col min="13057" max="13057" width="6.85546875" style="1" customWidth="1"/>
    <col min="13058" max="13058" width="39" style="1" customWidth="1"/>
    <col min="13059" max="13059" width="25.42578125" style="1" customWidth="1"/>
    <col min="13060" max="13060" width="19.140625" style="1" customWidth="1"/>
    <col min="13061" max="13061" width="18.85546875" style="1" customWidth="1"/>
    <col min="13062" max="13062" width="25.42578125" style="1" customWidth="1"/>
    <col min="13063" max="13063" width="22.85546875" style="1" customWidth="1"/>
    <col min="13064" max="13064" width="63.140625" style="1" customWidth="1"/>
    <col min="13065" max="13065" width="15" style="1" customWidth="1"/>
    <col min="13066" max="13066" width="15.42578125" style="1" customWidth="1"/>
    <col min="13067" max="13067" width="13.28515625" style="1" customWidth="1"/>
    <col min="13068" max="13068" width="15" style="1" customWidth="1"/>
    <col min="13069" max="13069" width="23.42578125" style="1" customWidth="1"/>
    <col min="13070" max="13070" width="27.42578125" style="1" customWidth="1"/>
    <col min="13071" max="13071" width="17.28515625" style="1" customWidth="1"/>
    <col min="13072" max="13073" width="29.85546875" style="1" customWidth="1"/>
    <col min="13074" max="13074" width="17.28515625" style="1" customWidth="1"/>
    <col min="13075" max="13075" width="16.140625" style="1" customWidth="1"/>
    <col min="13076" max="13076" width="24.42578125" style="1" customWidth="1"/>
    <col min="13077" max="13077" width="16.42578125" style="1" customWidth="1"/>
    <col min="13078" max="13078" width="19.28515625" style="1" customWidth="1"/>
    <col min="13079" max="13079" width="27.85546875" style="1" customWidth="1"/>
    <col min="13080" max="13080" width="28.42578125" style="1" customWidth="1"/>
    <col min="13081" max="13081" width="38.85546875" style="1" customWidth="1"/>
    <col min="13082" max="13312" width="9.140625" style="1"/>
    <col min="13313" max="13313" width="6.85546875" style="1" customWidth="1"/>
    <col min="13314" max="13314" width="39" style="1" customWidth="1"/>
    <col min="13315" max="13315" width="25.42578125" style="1" customWidth="1"/>
    <col min="13316" max="13316" width="19.140625" style="1" customWidth="1"/>
    <col min="13317" max="13317" width="18.85546875" style="1" customWidth="1"/>
    <col min="13318" max="13318" width="25.42578125" style="1" customWidth="1"/>
    <col min="13319" max="13319" width="22.85546875" style="1" customWidth="1"/>
    <col min="13320" max="13320" width="63.140625" style="1" customWidth="1"/>
    <col min="13321" max="13321" width="15" style="1" customWidth="1"/>
    <col min="13322" max="13322" width="15.42578125" style="1" customWidth="1"/>
    <col min="13323" max="13323" width="13.28515625" style="1" customWidth="1"/>
    <col min="13324" max="13324" width="15" style="1" customWidth="1"/>
    <col min="13325" max="13325" width="23.42578125" style="1" customWidth="1"/>
    <col min="13326" max="13326" width="27.42578125" style="1" customWidth="1"/>
    <col min="13327" max="13327" width="17.28515625" style="1" customWidth="1"/>
    <col min="13328" max="13329" width="29.85546875" style="1" customWidth="1"/>
    <col min="13330" max="13330" width="17.28515625" style="1" customWidth="1"/>
    <col min="13331" max="13331" width="16.140625" style="1" customWidth="1"/>
    <col min="13332" max="13332" width="24.42578125" style="1" customWidth="1"/>
    <col min="13333" max="13333" width="16.42578125" style="1" customWidth="1"/>
    <col min="13334" max="13334" width="19.28515625" style="1" customWidth="1"/>
    <col min="13335" max="13335" width="27.85546875" style="1" customWidth="1"/>
    <col min="13336" max="13336" width="28.42578125" style="1" customWidth="1"/>
    <col min="13337" max="13337" width="38.85546875" style="1" customWidth="1"/>
    <col min="13338" max="13568" width="9.140625" style="1"/>
    <col min="13569" max="13569" width="6.85546875" style="1" customWidth="1"/>
    <col min="13570" max="13570" width="39" style="1" customWidth="1"/>
    <col min="13571" max="13571" width="25.42578125" style="1" customWidth="1"/>
    <col min="13572" max="13572" width="19.140625" style="1" customWidth="1"/>
    <col min="13573" max="13573" width="18.85546875" style="1" customWidth="1"/>
    <col min="13574" max="13574" width="25.42578125" style="1" customWidth="1"/>
    <col min="13575" max="13575" width="22.85546875" style="1" customWidth="1"/>
    <col min="13576" max="13576" width="63.140625" style="1" customWidth="1"/>
    <col min="13577" max="13577" width="15" style="1" customWidth="1"/>
    <col min="13578" max="13578" width="15.42578125" style="1" customWidth="1"/>
    <col min="13579" max="13579" width="13.28515625" style="1" customWidth="1"/>
    <col min="13580" max="13580" width="15" style="1" customWidth="1"/>
    <col min="13581" max="13581" width="23.42578125" style="1" customWidth="1"/>
    <col min="13582" max="13582" width="27.42578125" style="1" customWidth="1"/>
    <col min="13583" max="13583" width="17.28515625" style="1" customWidth="1"/>
    <col min="13584" max="13585" width="29.85546875" style="1" customWidth="1"/>
    <col min="13586" max="13586" width="17.28515625" style="1" customWidth="1"/>
    <col min="13587" max="13587" width="16.140625" style="1" customWidth="1"/>
    <col min="13588" max="13588" width="24.42578125" style="1" customWidth="1"/>
    <col min="13589" max="13589" width="16.42578125" style="1" customWidth="1"/>
    <col min="13590" max="13590" width="19.28515625" style="1" customWidth="1"/>
    <col min="13591" max="13591" width="27.85546875" style="1" customWidth="1"/>
    <col min="13592" max="13592" width="28.42578125" style="1" customWidth="1"/>
    <col min="13593" max="13593" width="38.85546875" style="1" customWidth="1"/>
    <col min="13594" max="13824" width="9.140625" style="1"/>
    <col min="13825" max="13825" width="6.85546875" style="1" customWidth="1"/>
    <col min="13826" max="13826" width="39" style="1" customWidth="1"/>
    <col min="13827" max="13827" width="25.42578125" style="1" customWidth="1"/>
    <col min="13828" max="13828" width="19.140625" style="1" customWidth="1"/>
    <col min="13829" max="13829" width="18.85546875" style="1" customWidth="1"/>
    <col min="13830" max="13830" width="25.42578125" style="1" customWidth="1"/>
    <col min="13831" max="13831" width="22.85546875" style="1" customWidth="1"/>
    <col min="13832" max="13832" width="63.140625" style="1" customWidth="1"/>
    <col min="13833" max="13833" width="15" style="1" customWidth="1"/>
    <col min="13834" max="13834" width="15.42578125" style="1" customWidth="1"/>
    <col min="13835" max="13835" width="13.28515625" style="1" customWidth="1"/>
    <col min="13836" max="13836" width="15" style="1" customWidth="1"/>
    <col min="13837" max="13837" width="23.42578125" style="1" customWidth="1"/>
    <col min="13838" max="13838" width="27.42578125" style="1" customWidth="1"/>
    <col min="13839" max="13839" width="17.28515625" style="1" customWidth="1"/>
    <col min="13840" max="13841" width="29.85546875" style="1" customWidth="1"/>
    <col min="13842" max="13842" width="17.28515625" style="1" customWidth="1"/>
    <col min="13843" max="13843" width="16.140625" style="1" customWidth="1"/>
    <col min="13844" max="13844" width="24.42578125" style="1" customWidth="1"/>
    <col min="13845" max="13845" width="16.42578125" style="1" customWidth="1"/>
    <col min="13846" max="13846" width="19.28515625" style="1" customWidth="1"/>
    <col min="13847" max="13847" width="27.85546875" style="1" customWidth="1"/>
    <col min="13848" max="13848" width="28.42578125" style="1" customWidth="1"/>
    <col min="13849" max="13849" width="38.85546875" style="1" customWidth="1"/>
    <col min="13850" max="14080" width="9.140625" style="1"/>
    <col min="14081" max="14081" width="6.85546875" style="1" customWidth="1"/>
    <col min="14082" max="14082" width="39" style="1" customWidth="1"/>
    <col min="14083" max="14083" width="25.42578125" style="1" customWidth="1"/>
    <col min="14084" max="14084" width="19.140625" style="1" customWidth="1"/>
    <col min="14085" max="14085" width="18.85546875" style="1" customWidth="1"/>
    <col min="14086" max="14086" width="25.42578125" style="1" customWidth="1"/>
    <col min="14087" max="14087" width="22.85546875" style="1" customWidth="1"/>
    <col min="14088" max="14088" width="63.140625" style="1" customWidth="1"/>
    <col min="14089" max="14089" width="15" style="1" customWidth="1"/>
    <col min="14090" max="14090" width="15.42578125" style="1" customWidth="1"/>
    <col min="14091" max="14091" width="13.28515625" style="1" customWidth="1"/>
    <col min="14092" max="14092" width="15" style="1" customWidth="1"/>
    <col min="14093" max="14093" width="23.42578125" style="1" customWidth="1"/>
    <col min="14094" max="14094" width="27.42578125" style="1" customWidth="1"/>
    <col min="14095" max="14095" width="17.28515625" style="1" customWidth="1"/>
    <col min="14096" max="14097" width="29.85546875" style="1" customWidth="1"/>
    <col min="14098" max="14098" width="17.28515625" style="1" customWidth="1"/>
    <col min="14099" max="14099" width="16.140625" style="1" customWidth="1"/>
    <col min="14100" max="14100" width="24.42578125" style="1" customWidth="1"/>
    <col min="14101" max="14101" width="16.42578125" style="1" customWidth="1"/>
    <col min="14102" max="14102" width="19.28515625" style="1" customWidth="1"/>
    <col min="14103" max="14103" width="27.85546875" style="1" customWidth="1"/>
    <col min="14104" max="14104" width="28.42578125" style="1" customWidth="1"/>
    <col min="14105" max="14105" width="38.85546875" style="1" customWidth="1"/>
    <col min="14106" max="14336" width="9.140625" style="1"/>
    <col min="14337" max="14337" width="6.85546875" style="1" customWidth="1"/>
    <col min="14338" max="14338" width="39" style="1" customWidth="1"/>
    <col min="14339" max="14339" width="25.42578125" style="1" customWidth="1"/>
    <col min="14340" max="14340" width="19.140625" style="1" customWidth="1"/>
    <col min="14341" max="14341" width="18.85546875" style="1" customWidth="1"/>
    <col min="14342" max="14342" width="25.42578125" style="1" customWidth="1"/>
    <col min="14343" max="14343" width="22.85546875" style="1" customWidth="1"/>
    <col min="14344" max="14344" width="63.140625" style="1" customWidth="1"/>
    <col min="14345" max="14345" width="15" style="1" customWidth="1"/>
    <col min="14346" max="14346" width="15.42578125" style="1" customWidth="1"/>
    <col min="14347" max="14347" width="13.28515625" style="1" customWidth="1"/>
    <col min="14348" max="14348" width="15" style="1" customWidth="1"/>
    <col min="14349" max="14349" width="23.42578125" style="1" customWidth="1"/>
    <col min="14350" max="14350" width="27.42578125" style="1" customWidth="1"/>
    <col min="14351" max="14351" width="17.28515625" style="1" customWidth="1"/>
    <col min="14352" max="14353" width="29.85546875" style="1" customWidth="1"/>
    <col min="14354" max="14354" width="17.28515625" style="1" customWidth="1"/>
    <col min="14355" max="14355" width="16.140625" style="1" customWidth="1"/>
    <col min="14356" max="14356" width="24.42578125" style="1" customWidth="1"/>
    <col min="14357" max="14357" width="16.42578125" style="1" customWidth="1"/>
    <col min="14358" max="14358" width="19.28515625" style="1" customWidth="1"/>
    <col min="14359" max="14359" width="27.85546875" style="1" customWidth="1"/>
    <col min="14360" max="14360" width="28.42578125" style="1" customWidth="1"/>
    <col min="14361" max="14361" width="38.85546875" style="1" customWidth="1"/>
    <col min="14362" max="14592" width="9.140625" style="1"/>
    <col min="14593" max="14593" width="6.85546875" style="1" customWidth="1"/>
    <col min="14594" max="14594" width="39" style="1" customWidth="1"/>
    <col min="14595" max="14595" width="25.42578125" style="1" customWidth="1"/>
    <col min="14596" max="14596" width="19.140625" style="1" customWidth="1"/>
    <col min="14597" max="14597" width="18.85546875" style="1" customWidth="1"/>
    <col min="14598" max="14598" width="25.42578125" style="1" customWidth="1"/>
    <col min="14599" max="14599" width="22.85546875" style="1" customWidth="1"/>
    <col min="14600" max="14600" width="63.140625" style="1" customWidth="1"/>
    <col min="14601" max="14601" width="15" style="1" customWidth="1"/>
    <col min="14602" max="14602" width="15.42578125" style="1" customWidth="1"/>
    <col min="14603" max="14603" width="13.28515625" style="1" customWidth="1"/>
    <col min="14604" max="14604" width="15" style="1" customWidth="1"/>
    <col min="14605" max="14605" width="23.42578125" style="1" customWidth="1"/>
    <col min="14606" max="14606" width="27.42578125" style="1" customWidth="1"/>
    <col min="14607" max="14607" width="17.28515625" style="1" customWidth="1"/>
    <col min="14608" max="14609" width="29.85546875" style="1" customWidth="1"/>
    <col min="14610" max="14610" width="17.28515625" style="1" customWidth="1"/>
    <col min="14611" max="14611" width="16.140625" style="1" customWidth="1"/>
    <col min="14612" max="14612" width="24.42578125" style="1" customWidth="1"/>
    <col min="14613" max="14613" width="16.42578125" style="1" customWidth="1"/>
    <col min="14614" max="14614" width="19.28515625" style="1" customWidth="1"/>
    <col min="14615" max="14615" width="27.85546875" style="1" customWidth="1"/>
    <col min="14616" max="14616" width="28.42578125" style="1" customWidth="1"/>
    <col min="14617" max="14617" width="38.85546875" style="1" customWidth="1"/>
    <col min="14618" max="14848" width="9.140625" style="1"/>
    <col min="14849" max="14849" width="6.85546875" style="1" customWidth="1"/>
    <col min="14850" max="14850" width="39" style="1" customWidth="1"/>
    <col min="14851" max="14851" width="25.42578125" style="1" customWidth="1"/>
    <col min="14852" max="14852" width="19.140625" style="1" customWidth="1"/>
    <col min="14853" max="14853" width="18.85546875" style="1" customWidth="1"/>
    <col min="14854" max="14854" width="25.42578125" style="1" customWidth="1"/>
    <col min="14855" max="14855" width="22.85546875" style="1" customWidth="1"/>
    <col min="14856" max="14856" width="63.140625" style="1" customWidth="1"/>
    <col min="14857" max="14857" width="15" style="1" customWidth="1"/>
    <col min="14858" max="14858" width="15.42578125" style="1" customWidth="1"/>
    <col min="14859" max="14859" width="13.28515625" style="1" customWidth="1"/>
    <col min="14860" max="14860" width="15" style="1" customWidth="1"/>
    <col min="14861" max="14861" width="23.42578125" style="1" customWidth="1"/>
    <col min="14862" max="14862" width="27.42578125" style="1" customWidth="1"/>
    <col min="14863" max="14863" width="17.28515625" style="1" customWidth="1"/>
    <col min="14864" max="14865" width="29.85546875" style="1" customWidth="1"/>
    <col min="14866" max="14866" width="17.28515625" style="1" customWidth="1"/>
    <col min="14867" max="14867" width="16.140625" style="1" customWidth="1"/>
    <col min="14868" max="14868" width="24.42578125" style="1" customWidth="1"/>
    <col min="14869" max="14869" width="16.42578125" style="1" customWidth="1"/>
    <col min="14870" max="14870" width="19.28515625" style="1" customWidth="1"/>
    <col min="14871" max="14871" width="27.85546875" style="1" customWidth="1"/>
    <col min="14872" max="14872" width="28.42578125" style="1" customWidth="1"/>
    <col min="14873" max="14873" width="38.85546875" style="1" customWidth="1"/>
    <col min="14874" max="15104" width="9.140625" style="1"/>
    <col min="15105" max="15105" width="6.85546875" style="1" customWidth="1"/>
    <col min="15106" max="15106" width="39" style="1" customWidth="1"/>
    <col min="15107" max="15107" width="25.42578125" style="1" customWidth="1"/>
    <col min="15108" max="15108" width="19.140625" style="1" customWidth="1"/>
    <col min="15109" max="15109" width="18.85546875" style="1" customWidth="1"/>
    <col min="15110" max="15110" width="25.42578125" style="1" customWidth="1"/>
    <col min="15111" max="15111" width="22.85546875" style="1" customWidth="1"/>
    <col min="15112" max="15112" width="63.140625" style="1" customWidth="1"/>
    <col min="15113" max="15113" width="15" style="1" customWidth="1"/>
    <col min="15114" max="15114" width="15.42578125" style="1" customWidth="1"/>
    <col min="15115" max="15115" width="13.28515625" style="1" customWidth="1"/>
    <col min="15116" max="15116" width="15" style="1" customWidth="1"/>
    <col min="15117" max="15117" width="23.42578125" style="1" customWidth="1"/>
    <col min="15118" max="15118" width="27.42578125" style="1" customWidth="1"/>
    <col min="15119" max="15119" width="17.28515625" style="1" customWidth="1"/>
    <col min="15120" max="15121" width="29.85546875" style="1" customWidth="1"/>
    <col min="15122" max="15122" width="17.28515625" style="1" customWidth="1"/>
    <col min="15123" max="15123" width="16.140625" style="1" customWidth="1"/>
    <col min="15124" max="15124" width="24.42578125" style="1" customWidth="1"/>
    <col min="15125" max="15125" width="16.42578125" style="1" customWidth="1"/>
    <col min="15126" max="15126" width="19.28515625" style="1" customWidth="1"/>
    <col min="15127" max="15127" width="27.85546875" style="1" customWidth="1"/>
    <col min="15128" max="15128" width="28.42578125" style="1" customWidth="1"/>
    <col min="15129" max="15129" width="38.85546875" style="1" customWidth="1"/>
    <col min="15130" max="15360" width="9.140625" style="1"/>
    <col min="15361" max="15361" width="6.85546875" style="1" customWidth="1"/>
    <col min="15362" max="15362" width="39" style="1" customWidth="1"/>
    <col min="15363" max="15363" width="25.42578125" style="1" customWidth="1"/>
    <col min="15364" max="15364" width="19.140625" style="1" customWidth="1"/>
    <col min="15365" max="15365" width="18.85546875" style="1" customWidth="1"/>
    <col min="15366" max="15366" width="25.42578125" style="1" customWidth="1"/>
    <col min="15367" max="15367" width="22.85546875" style="1" customWidth="1"/>
    <col min="15368" max="15368" width="63.140625" style="1" customWidth="1"/>
    <col min="15369" max="15369" width="15" style="1" customWidth="1"/>
    <col min="15370" max="15370" width="15.42578125" style="1" customWidth="1"/>
    <col min="15371" max="15371" width="13.28515625" style="1" customWidth="1"/>
    <col min="15372" max="15372" width="15" style="1" customWidth="1"/>
    <col min="15373" max="15373" width="23.42578125" style="1" customWidth="1"/>
    <col min="15374" max="15374" width="27.42578125" style="1" customWidth="1"/>
    <col min="15375" max="15375" width="17.28515625" style="1" customWidth="1"/>
    <col min="15376" max="15377" width="29.85546875" style="1" customWidth="1"/>
    <col min="15378" max="15378" width="17.28515625" style="1" customWidth="1"/>
    <col min="15379" max="15379" width="16.140625" style="1" customWidth="1"/>
    <col min="15380" max="15380" width="24.42578125" style="1" customWidth="1"/>
    <col min="15381" max="15381" width="16.42578125" style="1" customWidth="1"/>
    <col min="15382" max="15382" width="19.28515625" style="1" customWidth="1"/>
    <col min="15383" max="15383" width="27.85546875" style="1" customWidth="1"/>
    <col min="15384" max="15384" width="28.42578125" style="1" customWidth="1"/>
    <col min="15385" max="15385" width="38.85546875" style="1" customWidth="1"/>
    <col min="15386" max="15616" width="9.140625" style="1"/>
    <col min="15617" max="15617" width="6.85546875" style="1" customWidth="1"/>
    <col min="15618" max="15618" width="39" style="1" customWidth="1"/>
    <col min="15619" max="15619" width="25.42578125" style="1" customWidth="1"/>
    <col min="15620" max="15620" width="19.140625" style="1" customWidth="1"/>
    <col min="15621" max="15621" width="18.85546875" style="1" customWidth="1"/>
    <col min="15622" max="15622" width="25.42578125" style="1" customWidth="1"/>
    <col min="15623" max="15623" width="22.85546875" style="1" customWidth="1"/>
    <col min="15624" max="15624" width="63.140625" style="1" customWidth="1"/>
    <col min="15625" max="15625" width="15" style="1" customWidth="1"/>
    <col min="15626" max="15626" width="15.42578125" style="1" customWidth="1"/>
    <col min="15627" max="15627" width="13.28515625" style="1" customWidth="1"/>
    <col min="15628" max="15628" width="15" style="1" customWidth="1"/>
    <col min="15629" max="15629" width="23.42578125" style="1" customWidth="1"/>
    <col min="15630" max="15630" width="27.42578125" style="1" customWidth="1"/>
    <col min="15631" max="15631" width="17.28515625" style="1" customWidth="1"/>
    <col min="15632" max="15633" width="29.85546875" style="1" customWidth="1"/>
    <col min="15634" max="15634" width="17.28515625" style="1" customWidth="1"/>
    <col min="15635" max="15635" width="16.140625" style="1" customWidth="1"/>
    <col min="15636" max="15636" width="24.42578125" style="1" customWidth="1"/>
    <col min="15637" max="15637" width="16.42578125" style="1" customWidth="1"/>
    <col min="15638" max="15638" width="19.28515625" style="1" customWidth="1"/>
    <col min="15639" max="15639" width="27.85546875" style="1" customWidth="1"/>
    <col min="15640" max="15640" width="28.42578125" style="1" customWidth="1"/>
    <col min="15641" max="15641" width="38.85546875" style="1" customWidth="1"/>
    <col min="15642" max="15872" width="9.140625" style="1"/>
    <col min="15873" max="15873" width="6.85546875" style="1" customWidth="1"/>
    <col min="15874" max="15874" width="39" style="1" customWidth="1"/>
    <col min="15875" max="15875" width="25.42578125" style="1" customWidth="1"/>
    <col min="15876" max="15876" width="19.140625" style="1" customWidth="1"/>
    <col min="15877" max="15877" width="18.85546875" style="1" customWidth="1"/>
    <col min="15878" max="15878" width="25.42578125" style="1" customWidth="1"/>
    <col min="15879" max="15879" width="22.85546875" style="1" customWidth="1"/>
    <col min="15880" max="15880" width="63.140625" style="1" customWidth="1"/>
    <col min="15881" max="15881" width="15" style="1" customWidth="1"/>
    <col min="15882" max="15882" width="15.42578125" style="1" customWidth="1"/>
    <col min="15883" max="15883" width="13.28515625" style="1" customWidth="1"/>
    <col min="15884" max="15884" width="15" style="1" customWidth="1"/>
    <col min="15885" max="15885" width="23.42578125" style="1" customWidth="1"/>
    <col min="15886" max="15886" width="27.42578125" style="1" customWidth="1"/>
    <col min="15887" max="15887" width="17.28515625" style="1" customWidth="1"/>
    <col min="15888" max="15889" width="29.85546875" style="1" customWidth="1"/>
    <col min="15890" max="15890" width="17.28515625" style="1" customWidth="1"/>
    <col min="15891" max="15891" width="16.140625" style="1" customWidth="1"/>
    <col min="15892" max="15892" width="24.42578125" style="1" customWidth="1"/>
    <col min="15893" max="15893" width="16.42578125" style="1" customWidth="1"/>
    <col min="15894" max="15894" width="19.28515625" style="1" customWidth="1"/>
    <col min="15895" max="15895" width="27.85546875" style="1" customWidth="1"/>
    <col min="15896" max="15896" width="28.42578125" style="1" customWidth="1"/>
    <col min="15897" max="15897" width="38.85546875" style="1" customWidth="1"/>
    <col min="15898" max="16128" width="9.140625" style="1"/>
    <col min="16129" max="16129" width="6.85546875" style="1" customWidth="1"/>
    <col min="16130" max="16130" width="39" style="1" customWidth="1"/>
    <col min="16131" max="16131" width="25.42578125" style="1" customWidth="1"/>
    <col min="16132" max="16132" width="19.140625" style="1" customWidth="1"/>
    <col min="16133" max="16133" width="18.85546875" style="1" customWidth="1"/>
    <col min="16134" max="16134" width="25.42578125" style="1" customWidth="1"/>
    <col min="16135" max="16135" width="22.85546875" style="1" customWidth="1"/>
    <col min="16136" max="16136" width="63.140625" style="1" customWidth="1"/>
    <col min="16137" max="16137" width="15" style="1" customWidth="1"/>
    <col min="16138" max="16138" width="15.42578125" style="1" customWidth="1"/>
    <col min="16139" max="16139" width="13.28515625" style="1" customWidth="1"/>
    <col min="16140" max="16140" width="15" style="1" customWidth="1"/>
    <col min="16141" max="16141" width="23.42578125" style="1" customWidth="1"/>
    <col min="16142" max="16142" width="27.42578125" style="1" customWidth="1"/>
    <col min="16143" max="16143" width="17.28515625" style="1" customWidth="1"/>
    <col min="16144" max="16145" width="29.85546875" style="1" customWidth="1"/>
    <col min="16146" max="16146" width="17.28515625" style="1" customWidth="1"/>
    <col min="16147" max="16147" width="16.140625" style="1" customWidth="1"/>
    <col min="16148" max="16148" width="24.42578125" style="1" customWidth="1"/>
    <col min="16149" max="16149" width="16.42578125" style="1" customWidth="1"/>
    <col min="16150" max="16150" width="19.28515625" style="1" customWidth="1"/>
    <col min="16151" max="16151" width="27.85546875" style="1" customWidth="1"/>
    <col min="16152" max="16152" width="28.42578125" style="1" customWidth="1"/>
    <col min="16153" max="16153" width="38.85546875" style="1" customWidth="1"/>
    <col min="16154" max="16384" width="9.140625" style="1"/>
  </cols>
  <sheetData>
    <row r="6" spans="1:25" s="40" customFormat="1" ht="116.25" customHeight="1" x14ac:dyDescent="0.2">
      <c r="A6" s="15" t="s">
        <v>24</v>
      </c>
      <c r="B6" s="15" t="s">
        <v>25</v>
      </c>
      <c r="C6" s="15" t="s">
        <v>26</v>
      </c>
      <c r="D6" s="207" t="s">
        <v>27</v>
      </c>
      <c r="E6" s="208"/>
      <c r="F6" s="209"/>
      <c r="G6" s="38" t="s">
        <v>1038</v>
      </c>
      <c r="H6" s="16" t="s">
        <v>29</v>
      </c>
      <c r="I6" s="38" t="s">
        <v>30</v>
      </c>
      <c r="J6" s="38" t="s">
        <v>31</v>
      </c>
      <c r="K6" s="38" t="s">
        <v>32</v>
      </c>
      <c r="L6" s="38" t="s">
        <v>33</v>
      </c>
      <c r="M6" s="38" t="s">
        <v>34</v>
      </c>
      <c r="N6" s="38" t="s">
        <v>35</v>
      </c>
      <c r="O6" s="38" t="s">
        <v>36</v>
      </c>
      <c r="P6" s="38" t="s">
        <v>37</v>
      </c>
      <c r="Q6" s="38" t="s">
        <v>38</v>
      </c>
      <c r="R6" s="38" t="s">
        <v>39</v>
      </c>
      <c r="S6" s="38" t="s">
        <v>40</v>
      </c>
      <c r="T6" s="38" t="s">
        <v>41</v>
      </c>
      <c r="U6" s="38" t="s">
        <v>43</v>
      </c>
      <c r="V6" s="38" t="s">
        <v>42</v>
      </c>
      <c r="W6" s="38" t="s">
        <v>44</v>
      </c>
      <c r="X6" s="38" t="s">
        <v>45</v>
      </c>
      <c r="Y6" s="39" t="s">
        <v>46</v>
      </c>
    </row>
    <row r="7" spans="1:25" s="40" customFormat="1" ht="63.75" customHeight="1" x14ac:dyDescent="0.2">
      <c r="A7" s="17"/>
      <c r="B7" s="17"/>
      <c r="C7" s="17"/>
      <c r="D7" s="18" t="s">
        <v>1039</v>
      </c>
      <c r="E7" s="19" t="s">
        <v>1040</v>
      </c>
      <c r="F7" s="19" t="s">
        <v>1041</v>
      </c>
      <c r="G7" s="41"/>
      <c r="H7" s="20"/>
      <c r="I7" s="41"/>
      <c r="J7" s="41"/>
      <c r="K7" s="41"/>
      <c r="L7" s="41"/>
      <c r="M7" s="41"/>
      <c r="N7" s="41"/>
      <c r="O7" s="41"/>
      <c r="P7" s="41"/>
      <c r="Q7" s="41"/>
      <c r="R7" s="41"/>
      <c r="S7" s="41"/>
      <c r="T7" s="41"/>
      <c r="U7" s="41"/>
      <c r="V7" s="41"/>
      <c r="W7" s="41"/>
      <c r="X7" s="41"/>
      <c r="Y7" s="42"/>
    </row>
    <row r="8" spans="1:25" ht="168.75" customHeight="1" x14ac:dyDescent="0.2">
      <c r="A8" s="78">
        <v>1</v>
      </c>
      <c r="B8" s="77" t="s">
        <v>95</v>
      </c>
      <c r="C8" s="77" t="s">
        <v>117</v>
      </c>
      <c r="D8" s="79">
        <v>0</v>
      </c>
      <c r="E8" s="80">
        <v>322694453</v>
      </c>
      <c r="F8" s="79">
        <v>0</v>
      </c>
      <c r="G8" s="77">
        <v>80111600</v>
      </c>
      <c r="H8" s="77" t="s">
        <v>1042</v>
      </c>
      <c r="I8" s="81">
        <v>1</v>
      </c>
      <c r="J8" s="81">
        <v>1</v>
      </c>
      <c r="K8" s="81">
        <v>11</v>
      </c>
      <c r="L8" s="81">
        <v>1</v>
      </c>
      <c r="M8" s="81" t="s">
        <v>64</v>
      </c>
      <c r="N8" s="81" t="s">
        <v>1043</v>
      </c>
      <c r="O8" s="77">
        <v>1</v>
      </c>
      <c r="P8" s="82">
        <f>+E8</f>
        <v>322694453</v>
      </c>
      <c r="Q8" s="82">
        <f>+E8</f>
        <v>322694453</v>
      </c>
      <c r="R8" s="77">
        <v>0</v>
      </c>
      <c r="S8" s="77">
        <v>0</v>
      </c>
      <c r="T8" s="77" t="s">
        <v>280</v>
      </c>
      <c r="U8" s="77" t="s">
        <v>1044</v>
      </c>
      <c r="V8" s="83" t="s">
        <v>1045</v>
      </c>
      <c r="W8" s="77" t="s">
        <v>1046</v>
      </c>
      <c r="X8" s="77">
        <v>2427400</v>
      </c>
      <c r="Y8" s="84" t="s">
        <v>1047</v>
      </c>
    </row>
    <row r="9" spans="1:25" s="43" customFormat="1" ht="15.75" x14ac:dyDescent="0.25">
      <c r="B9" s="44"/>
      <c r="D9" s="45">
        <f>+D8</f>
        <v>0</v>
      </c>
      <c r="E9" s="45">
        <f>+E8</f>
        <v>322694453</v>
      </c>
      <c r="F9" s="45">
        <f>+F8</f>
        <v>0</v>
      </c>
      <c r="G9" s="46"/>
      <c r="H9" s="46"/>
      <c r="I9" s="47"/>
      <c r="J9" s="47"/>
      <c r="K9" s="47"/>
      <c r="L9" s="47"/>
      <c r="M9" s="47"/>
      <c r="N9" s="47"/>
      <c r="O9" s="46"/>
      <c r="P9" s="48"/>
      <c r="Q9" s="48"/>
      <c r="R9" s="47"/>
      <c r="S9" s="47"/>
      <c r="T9" s="47"/>
      <c r="U9" s="47"/>
      <c r="V9" s="47"/>
      <c r="W9" s="47"/>
      <c r="X9" s="47"/>
      <c r="Y9" s="47"/>
    </row>
    <row r="14" spans="1:25" ht="15" customHeight="1" x14ac:dyDescent="0.2"/>
    <row r="15" spans="1:25" s="33" customFormat="1" ht="20.100000000000001" customHeight="1" x14ac:dyDescent="0.2">
      <c r="A15" s="31"/>
      <c r="B15" s="8" t="s">
        <v>1048</v>
      </c>
      <c r="C15" s="22"/>
      <c r="D15" s="22"/>
      <c r="E15" s="28"/>
      <c r="F15" s="22"/>
      <c r="G15" s="34"/>
      <c r="H15" s="22"/>
      <c r="I15" s="22"/>
      <c r="J15" s="22"/>
      <c r="K15" s="22"/>
      <c r="L15" s="22"/>
      <c r="M15" s="22"/>
      <c r="N15" s="22"/>
      <c r="O15" s="22"/>
      <c r="P15" s="22"/>
      <c r="Q15" s="22"/>
      <c r="R15" s="21"/>
      <c r="S15" s="21"/>
      <c r="T15" s="21"/>
      <c r="U15" s="21"/>
      <c r="V15" s="21"/>
      <c r="W15" s="21"/>
      <c r="X15" s="21"/>
      <c r="Y15" s="21"/>
    </row>
    <row r="16" spans="1:25" s="27" customFormat="1" ht="20.100000000000001" customHeight="1" x14ac:dyDescent="0.2">
      <c r="A16" s="31"/>
      <c r="B16" s="23" t="s">
        <v>1049</v>
      </c>
      <c r="C16" s="22"/>
      <c r="D16" s="22"/>
      <c r="E16" s="22"/>
      <c r="F16" s="22"/>
      <c r="G16" s="34"/>
      <c r="H16" s="22"/>
      <c r="I16" s="22"/>
      <c r="J16" s="22"/>
      <c r="K16" s="22"/>
      <c r="L16" s="22"/>
      <c r="M16" s="22"/>
      <c r="N16" s="22"/>
      <c r="O16" s="22"/>
      <c r="P16" s="22"/>
      <c r="Q16" s="22"/>
      <c r="R16" s="21"/>
      <c r="S16" s="21"/>
      <c r="T16" s="21"/>
      <c r="U16" s="21"/>
      <c r="V16" s="21"/>
      <c r="W16" s="21"/>
      <c r="X16" s="21"/>
      <c r="Y16" s="21"/>
    </row>
    <row r="17" spans="1:215" s="27" customFormat="1" ht="20.100000000000001" customHeight="1" x14ac:dyDescent="0.2">
      <c r="A17" s="31"/>
      <c r="B17" s="23" t="s">
        <v>1050</v>
      </c>
      <c r="C17" s="22"/>
      <c r="D17" s="22"/>
      <c r="E17" s="22"/>
      <c r="F17" s="22"/>
      <c r="G17" s="34"/>
      <c r="H17" s="22"/>
      <c r="I17" s="22"/>
      <c r="J17" s="22"/>
      <c r="K17" s="22"/>
      <c r="L17" s="22"/>
      <c r="M17" s="22"/>
      <c r="N17" s="22"/>
      <c r="O17" s="22"/>
      <c r="P17" s="22"/>
      <c r="Q17" s="22"/>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row>
    <row r="18" spans="1:215" s="29" customFormat="1" ht="20.100000000000001" customHeight="1" x14ac:dyDescent="0.2">
      <c r="A18" s="31"/>
      <c r="B18" s="213" t="s">
        <v>1051</v>
      </c>
      <c r="C18" s="213"/>
      <c r="D18" s="213"/>
      <c r="E18" s="213"/>
      <c r="F18" s="213"/>
      <c r="G18" s="213"/>
      <c r="H18" s="213"/>
      <c r="I18" s="213"/>
      <c r="J18" s="213"/>
      <c r="K18" s="213"/>
      <c r="L18" s="213"/>
      <c r="M18" s="213"/>
      <c r="N18" s="213"/>
      <c r="O18" s="213"/>
      <c r="P18" s="213"/>
      <c r="Q18" s="213"/>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row>
    <row r="19" spans="1:215" s="27" customFormat="1" ht="20.100000000000001" customHeight="1" x14ac:dyDescent="0.2">
      <c r="A19" s="31"/>
      <c r="B19" s="21"/>
      <c r="C19" s="21"/>
      <c r="D19" s="21"/>
      <c r="E19" s="21"/>
      <c r="F19" s="21"/>
      <c r="G19" s="35"/>
      <c r="H19" s="21"/>
      <c r="I19" s="26"/>
      <c r="J19" s="26"/>
      <c r="K19" s="26"/>
      <c r="L19" s="26"/>
      <c r="M19" s="26"/>
      <c r="N19" s="26"/>
      <c r="O19" s="26"/>
      <c r="P19" s="26"/>
      <c r="Q19" s="26"/>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row>
    <row r="20" spans="1:215" s="27" customFormat="1" ht="20.100000000000001" customHeight="1" x14ac:dyDescent="0.2">
      <c r="A20" s="210" t="s">
        <v>1052</v>
      </c>
      <c r="B20" s="210"/>
      <c r="C20" s="210"/>
      <c r="D20" s="210"/>
      <c r="E20" s="210"/>
      <c r="F20" s="210"/>
      <c r="G20" s="210"/>
      <c r="H20" s="210"/>
      <c r="I20" s="210"/>
      <c r="J20" s="26"/>
      <c r="K20" s="22"/>
      <c r="L20" s="22"/>
      <c r="M20" s="22"/>
      <c r="N20" s="22"/>
      <c r="O20" s="22"/>
      <c r="P20" s="22"/>
      <c r="Q20" s="22"/>
      <c r="R20" s="22"/>
      <c r="S20" s="22"/>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row>
    <row r="21" spans="1:215" s="27" customFormat="1" ht="20.100000000000001" customHeight="1" x14ac:dyDescent="0.25">
      <c r="A21" s="32"/>
      <c r="B21" s="9" t="s">
        <v>1053</v>
      </c>
      <c r="C21" s="9"/>
      <c r="D21" s="9"/>
      <c r="E21" s="9"/>
      <c r="F21" s="9"/>
      <c r="G21" s="32" t="s">
        <v>1054</v>
      </c>
      <c r="H21" s="9"/>
      <c r="I21" s="9"/>
      <c r="J21" s="9"/>
      <c r="K21" s="9" t="s">
        <v>1054</v>
      </c>
      <c r="L21" s="9"/>
      <c r="M21" s="9"/>
      <c r="N21" s="9"/>
      <c r="O21" s="9"/>
      <c r="P21" s="8" t="s">
        <v>1055</v>
      </c>
      <c r="Q21" s="10"/>
      <c r="R21" s="9"/>
      <c r="S21" s="10"/>
      <c r="T21" s="10"/>
      <c r="U21" s="10"/>
      <c r="V21" s="10"/>
      <c r="W21" s="10"/>
      <c r="X21" s="10"/>
      <c r="Y21" s="10"/>
      <c r="Z21" s="10"/>
      <c r="AA21" s="10"/>
      <c r="AB21" s="10"/>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row>
    <row r="22" spans="1:215" s="27" customFormat="1" ht="20.100000000000001" customHeight="1" x14ac:dyDescent="0.2">
      <c r="A22" s="25"/>
      <c r="B22" s="214"/>
      <c r="C22" s="214"/>
      <c r="D22" s="214"/>
      <c r="E22" s="214"/>
      <c r="F22" s="24"/>
      <c r="G22" s="36" t="s">
        <v>1056</v>
      </c>
      <c r="H22" s="11"/>
      <c r="I22" s="11"/>
      <c r="J22" s="24"/>
      <c r="K22" s="11" t="s">
        <v>1057</v>
      </c>
      <c r="L22" s="11"/>
      <c r="M22" s="11"/>
      <c r="N22" s="24"/>
      <c r="O22" s="24"/>
      <c r="P22" s="11" t="s">
        <v>1058</v>
      </c>
      <c r="Q22" s="12"/>
      <c r="R22" s="1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row>
    <row r="23" spans="1:215" s="27" customFormat="1" ht="20.100000000000001" customHeight="1" x14ac:dyDescent="0.2">
      <c r="A23" s="25"/>
      <c r="B23" s="24"/>
      <c r="C23" s="24"/>
      <c r="D23" s="24"/>
      <c r="E23" s="24"/>
      <c r="F23" s="24"/>
      <c r="G23" s="215" t="s">
        <v>1059</v>
      </c>
      <c r="H23" s="215"/>
      <c r="I23" s="24"/>
      <c r="J23" s="24"/>
      <c r="K23" s="24" t="s">
        <v>1060</v>
      </c>
      <c r="L23" s="24"/>
      <c r="M23" s="24"/>
      <c r="N23" s="24"/>
      <c r="O23" s="24"/>
      <c r="P23" s="24" t="s">
        <v>1061</v>
      </c>
      <c r="Q23" s="21"/>
      <c r="R23" s="24"/>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row>
    <row r="24" spans="1:215" s="27" customFormat="1" ht="20.100000000000001" customHeight="1" x14ac:dyDescent="0.2">
      <c r="A24" s="210"/>
      <c r="B24" s="24"/>
      <c r="C24" s="211"/>
      <c r="D24" s="211"/>
      <c r="E24" s="211"/>
      <c r="F24" s="211"/>
      <c r="G24" s="212" t="s">
        <v>1062</v>
      </c>
      <c r="H24" s="212"/>
      <c r="I24" s="212"/>
      <c r="J24" s="212"/>
      <c r="K24" s="218"/>
      <c r="L24" s="218"/>
      <c r="M24" s="218"/>
      <c r="N24" s="218"/>
      <c r="O24" s="211"/>
      <c r="P24" s="216"/>
      <c r="Q24" s="216"/>
      <c r="R24" s="216"/>
      <c r="S24" s="216"/>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7"/>
      <c r="BH24" s="217"/>
      <c r="BI24" s="217"/>
      <c r="BJ24" s="217"/>
      <c r="BK24" s="217"/>
      <c r="BL24" s="217"/>
      <c r="BM24" s="217"/>
      <c r="BN24" s="217"/>
      <c r="BO24" s="217"/>
      <c r="BP24" s="217"/>
      <c r="BQ24" s="217"/>
      <c r="BR24" s="217"/>
      <c r="BS24" s="217"/>
      <c r="BT24" s="217"/>
      <c r="BU24" s="217"/>
      <c r="BV24" s="217"/>
      <c r="BW24" s="217"/>
      <c r="BX24" s="217"/>
      <c r="BY24" s="217"/>
      <c r="BZ24" s="217"/>
      <c r="CA24" s="217"/>
      <c r="CB24" s="217"/>
      <c r="CC24" s="217"/>
      <c r="CD24" s="217"/>
      <c r="CE24" s="217"/>
      <c r="CF24" s="217"/>
      <c r="CG24" s="217"/>
      <c r="CH24" s="217"/>
      <c r="CI24" s="217"/>
      <c r="CJ24" s="217"/>
      <c r="CK24" s="217"/>
      <c r="CL24" s="217"/>
      <c r="CM24" s="217"/>
      <c r="CN24" s="217"/>
      <c r="CO24" s="217"/>
      <c r="CP24" s="217"/>
      <c r="CQ24" s="217"/>
      <c r="CR24" s="217"/>
      <c r="CS24" s="217"/>
      <c r="CT24" s="217"/>
      <c r="CU24" s="217"/>
      <c r="CV24" s="217"/>
      <c r="CW24" s="217"/>
      <c r="CX24" s="217"/>
      <c r="CY24" s="217"/>
      <c r="CZ24" s="217"/>
      <c r="DA24" s="217"/>
      <c r="DB24" s="217"/>
      <c r="DC24" s="217"/>
      <c r="DD24" s="217"/>
      <c r="DE24" s="217"/>
      <c r="DF24" s="217"/>
      <c r="DG24" s="217"/>
      <c r="DH24" s="217"/>
      <c r="DI24" s="217"/>
      <c r="DJ24" s="217"/>
      <c r="DK24" s="217"/>
      <c r="DL24" s="217"/>
      <c r="DM24" s="217"/>
      <c r="DN24" s="217"/>
      <c r="DO24" s="217"/>
      <c r="DP24" s="217"/>
      <c r="DQ24" s="217"/>
      <c r="DR24" s="217"/>
      <c r="DS24" s="217"/>
      <c r="DT24" s="217"/>
      <c r="DU24" s="217"/>
      <c r="DV24" s="217"/>
      <c r="DW24" s="217"/>
      <c r="DX24" s="217"/>
      <c r="DY24" s="217"/>
      <c r="DZ24" s="217"/>
      <c r="EA24" s="217"/>
      <c r="EB24" s="217"/>
      <c r="EC24" s="217"/>
      <c r="ED24" s="217"/>
      <c r="EE24" s="217"/>
      <c r="EF24" s="217"/>
      <c r="EG24" s="217"/>
      <c r="EH24" s="217"/>
      <c r="EI24" s="217"/>
      <c r="EJ24" s="217"/>
      <c r="EK24" s="217"/>
      <c r="EL24" s="217"/>
      <c r="EM24" s="217"/>
      <c r="EN24" s="217"/>
      <c r="EO24" s="217"/>
      <c r="EP24" s="217"/>
      <c r="EQ24" s="217"/>
      <c r="ER24" s="217"/>
      <c r="ES24" s="217"/>
      <c r="ET24" s="217"/>
      <c r="EU24" s="217"/>
      <c r="EV24" s="217"/>
      <c r="EW24" s="217"/>
      <c r="EX24" s="217"/>
      <c r="EY24" s="217"/>
      <c r="EZ24" s="217"/>
      <c r="FA24" s="217"/>
      <c r="FB24" s="217"/>
      <c r="FC24" s="217"/>
      <c r="FD24" s="217"/>
      <c r="FE24" s="217"/>
      <c r="FF24" s="217"/>
      <c r="FG24" s="217"/>
      <c r="FH24" s="217"/>
      <c r="FI24" s="217"/>
      <c r="FJ24" s="217"/>
      <c r="FK24" s="217"/>
      <c r="FL24" s="217"/>
      <c r="FM24" s="217"/>
      <c r="FN24" s="217"/>
      <c r="FO24" s="217"/>
      <c r="FP24" s="217"/>
      <c r="FQ24" s="217"/>
      <c r="FR24" s="217"/>
      <c r="FS24" s="217"/>
      <c r="FT24" s="217"/>
      <c r="FU24" s="217"/>
      <c r="FV24" s="217"/>
      <c r="FW24" s="217"/>
      <c r="FX24" s="217"/>
      <c r="FY24" s="217"/>
      <c r="FZ24" s="217"/>
      <c r="GA24" s="217"/>
      <c r="GB24" s="217"/>
      <c r="GC24" s="217"/>
      <c r="GD24" s="217"/>
      <c r="GE24" s="217"/>
      <c r="GF24" s="217"/>
      <c r="GG24" s="217"/>
      <c r="GH24" s="217"/>
      <c r="GI24" s="217"/>
      <c r="GJ24" s="217"/>
      <c r="GK24" s="217"/>
      <c r="GL24" s="217"/>
      <c r="GM24" s="217"/>
      <c r="GN24" s="217"/>
      <c r="GO24" s="217"/>
      <c r="GP24" s="217"/>
      <c r="GQ24" s="217"/>
      <c r="GR24" s="217"/>
      <c r="GS24" s="217"/>
      <c r="GT24" s="217"/>
      <c r="GU24" s="217"/>
      <c r="GV24" s="217"/>
      <c r="GW24" s="217"/>
      <c r="GX24" s="217"/>
      <c r="GY24" s="217"/>
      <c r="GZ24" s="217"/>
      <c r="HA24" s="217"/>
      <c r="HB24" s="217"/>
      <c r="HC24" s="217"/>
      <c r="HD24" s="217"/>
      <c r="HE24" s="217"/>
      <c r="HF24" s="217"/>
      <c r="HG24" s="217"/>
    </row>
    <row r="25" spans="1:215" s="27" customFormat="1" ht="20.100000000000001" customHeight="1" x14ac:dyDescent="0.2">
      <c r="A25" s="210"/>
      <c r="B25" s="24"/>
      <c r="C25" s="211"/>
      <c r="D25" s="211"/>
      <c r="E25" s="211"/>
      <c r="F25" s="211"/>
      <c r="G25" s="212" t="s">
        <v>1063</v>
      </c>
      <c r="H25" s="212"/>
      <c r="I25" s="212"/>
      <c r="J25" s="212"/>
      <c r="K25" s="218"/>
      <c r="L25" s="218"/>
      <c r="M25" s="218"/>
      <c r="N25" s="218"/>
      <c r="O25" s="211"/>
      <c r="P25" s="216"/>
      <c r="Q25" s="216"/>
      <c r="R25" s="216"/>
      <c r="S25" s="216"/>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217"/>
      <c r="BQ25" s="217"/>
      <c r="BR25" s="217"/>
      <c r="BS25" s="217"/>
      <c r="BT25" s="217"/>
      <c r="BU25" s="217"/>
      <c r="BV25" s="217"/>
      <c r="BW25" s="217"/>
      <c r="BX25" s="217"/>
      <c r="BY25" s="217"/>
      <c r="BZ25" s="217"/>
      <c r="CA25" s="217"/>
      <c r="CB25" s="217"/>
      <c r="CC25" s="217"/>
      <c r="CD25" s="217"/>
      <c r="CE25" s="217"/>
      <c r="CF25" s="217"/>
      <c r="CG25" s="217"/>
      <c r="CH25" s="217"/>
      <c r="CI25" s="217"/>
      <c r="CJ25" s="217"/>
      <c r="CK25" s="217"/>
      <c r="CL25" s="217"/>
      <c r="CM25" s="217"/>
      <c r="CN25" s="217"/>
      <c r="CO25" s="217"/>
      <c r="CP25" s="217"/>
      <c r="CQ25" s="217"/>
      <c r="CR25" s="217"/>
      <c r="CS25" s="217"/>
      <c r="CT25" s="217"/>
      <c r="CU25" s="217"/>
      <c r="CV25" s="217"/>
      <c r="CW25" s="217"/>
      <c r="CX25" s="217"/>
      <c r="CY25" s="217"/>
      <c r="CZ25" s="217"/>
      <c r="DA25" s="217"/>
      <c r="DB25" s="217"/>
      <c r="DC25" s="217"/>
      <c r="DD25" s="217"/>
      <c r="DE25" s="217"/>
      <c r="DF25" s="217"/>
      <c r="DG25" s="217"/>
      <c r="DH25" s="217"/>
      <c r="DI25" s="217"/>
      <c r="DJ25" s="217"/>
      <c r="DK25" s="217"/>
      <c r="DL25" s="217"/>
      <c r="DM25" s="217"/>
      <c r="DN25" s="217"/>
      <c r="DO25" s="217"/>
      <c r="DP25" s="217"/>
      <c r="DQ25" s="217"/>
      <c r="DR25" s="217"/>
      <c r="DS25" s="217"/>
      <c r="DT25" s="217"/>
      <c r="DU25" s="217"/>
      <c r="DV25" s="217"/>
      <c r="DW25" s="217"/>
      <c r="DX25" s="217"/>
      <c r="DY25" s="217"/>
      <c r="DZ25" s="217"/>
      <c r="EA25" s="217"/>
      <c r="EB25" s="217"/>
      <c r="EC25" s="217"/>
      <c r="ED25" s="217"/>
      <c r="EE25" s="217"/>
      <c r="EF25" s="217"/>
      <c r="EG25" s="217"/>
      <c r="EH25" s="217"/>
      <c r="EI25" s="217"/>
      <c r="EJ25" s="217"/>
      <c r="EK25" s="217"/>
      <c r="EL25" s="217"/>
      <c r="EM25" s="217"/>
      <c r="EN25" s="217"/>
      <c r="EO25" s="217"/>
      <c r="EP25" s="217"/>
      <c r="EQ25" s="217"/>
      <c r="ER25" s="217"/>
      <c r="ES25" s="217"/>
      <c r="ET25" s="217"/>
      <c r="EU25" s="217"/>
      <c r="EV25" s="217"/>
      <c r="EW25" s="217"/>
      <c r="EX25" s="217"/>
      <c r="EY25" s="217"/>
      <c r="EZ25" s="217"/>
      <c r="FA25" s="217"/>
      <c r="FB25" s="217"/>
      <c r="FC25" s="217"/>
      <c r="FD25" s="217"/>
      <c r="FE25" s="217"/>
      <c r="FF25" s="217"/>
      <c r="FG25" s="217"/>
      <c r="FH25" s="217"/>
      <c r="FI25" s="217"/>
      <c r="FJ25" s="217"/>
      <c r="FK25" s="217"/>
      <c r="FL25" s="217"/>
      <c r="FM25" s="217"/>
      <c r="FN25" s="217"/>
      <c r="FO25" s="217"/>
      <c r="FP25" s="217"/>
      <c r="FQ25" s="217"/>
      <c r="FR25" s="217"/>
      <c r="FS25" s="217"/>
      <c r="FT25" s="217"/>
      <c r="FU25" s="217"/>
      <c r="FV25" s="217"/>
      <c r="FW25" s="217"/>
      <c r="FX25" s="217"/>
      <c r="FY25" s="217"/>
      <c r="FZ25" s="217"/>
      <c r="GA25" s="217"/>
      <c r="GB25" s="217"/>
      <c r="GC25" s="217"/>
      <c r="GD25" s="217"/>
      <c r="GE25" s="217"/>
      <c r="GF25" s="217"/>
      <c r="GG25" s="217"/>
      <c r="GH25" s="217"/>
      <c r="GI25" s="217"/>
      <c r="GJ25" s="217"/>
      <c r="GK25" s="217"/>
      <c r="GL25" s="217"/>
      <c r="GM25" s="217"/>
      <c r="GN25" s="217"/>
      <c r="GO25" s="217"/>
      <c r="GP25" s="217"/>
      <c r="GQ25" s="217"/>
      <c r="GR25" s="217"/>
      <c r="GS25" s="217"/>
      <c r="GT25" s="217"/>
      <c r="GU25" s="217"/>
      <c r="GV25" s="217"/>
      <c r="GW25" s="217"/>
      <c r="GX25" s="217"/>
      <c r="GY25" s="217"/>
      <c r="GZ25" s="217"/>
      <c r="HA25" s="217"/>
      <c r="HB25" s="217"/>
      <c r="HC25" s="217"/>
      <c r="HD25" s="217"/>
      <c r="HE25" s="217"/>
      <c r="HF25" s="217"/>
      <c r="HG25" s="217"/>
    </row>
    <row r="26" spans="1:215" s="27" customFormat="1" ht="20.100000000000001" customHeight="1" x14ac:dyDescent="0.2">
      <c r="A26" s="25"/>
      <c r="B26" s="24"/>
      <c r="C26" s="24"/>
      <c r="D26" s="24"/>
      <c r="E26" s="24"/>
      <c r="F26" s="24"/>
      <c r="G26" s="25"/>
      <c r="H26" s="24"/>
      <c r="I26" s="24"/>
      <c r="J26" s="24"/>
      <c r="K26" s="24"/>
      <c r="L26" s="24"/>
      <c r="M26" s="24"/>
      <c r="N26" s="24"/>
      <c r="O26" s="24"/>
      <c r="P26" s="22"/>
      <c r="Q26" s="22"/>
      <c r="R26" s="22"/>
      <c r="S26" s="22"/>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row>
    <row r="27" spans="1:215" s="30" customFormat="1" ht="20.100000000000001" customHeight="1" x14ac:dyDescent="0.25">
      <c r="A27" s="25"/>
      <c r="B27" s="24"/>
      <c r="C27" s="24"/>
      <c r="D27" s="24"/>
      <c r="E27" s="24"/>
      <c r="F27" s="24"/>
      <c r="G27" s="25"/>
      <c r="H27" s="24"/>
      <c r="I27" s="24"/>
      <c r="J27" s="24"/>
      <c r="K27" s="24"/>
      <c r="L27" s="24"/>
      <c r="M27" s="24"/>
      <c r="N27" s="24"/>
      <c r="O27" s="24"/>
      <c r="P27" s="22"/>
      <c r="Q27" s="22"/>
      <c r="R27" s="22"/>
      <c r="S27" s="22"/>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row>
    <row r="28" spans="1:215" s="7" customFormat="1" ht="15.75" x14ac:dyDescent="0.25">
      <c r="A28" s="25"/>
      <c r="B28" s="24"/>
      <c r="C28" s="24"/>
      <c r="D28" s="24"/>
      <c r="E28" s="24"/>
      <c r="F28" s="24"/>
      <c r="G28" s="25"/>
      <c r="H28" s="24"/>
      <c r="I28" s="24"/>
      <c r="J28" s="24"/>
      <c r="K28" s="24"/>
      <c r="L28" s="24"/>
      <c r="M28" s="24"/>
      <c r="N28" s="24"/>
      <c r="O28" s="24"/>
      <c r="P28" s="22"/>
      <c r="Q28" s="22"/>
      <c r="R28" s="22"/>
      <c r="S28" s="22"/>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row>
    <row r="29" spans="1:215" s="7" customFormat="1" ht="15.75" x14ac:dyDescent="0.25">
      <c r="A29" s="32"/>
      <c r="B29" s="9" t="s">
        <v>1064</v>
      </c>
      <c r="C29" s="9"/>
      <c r="D29" s="9"/>
      <c r="E29" s="9"/>
      <c r="F29" s="9"/>
      <c r="G29" s="32" t="s">
        <v>1065</v>
      </c>
      <c r="H29" s="9"/>
      <c r="I29" s="9"/>
      <c r="J29" s="9"/>
      <c r="K29" s="9" t="s">
        <v>1065</v>
      </c>
      <c r="L29" s="9"/>
      <c r="M29" s="9"/>
      <c r="N29" s="9"/>
      <c r="O29" s="9"/>
      <c r="P29" s="13"/>
      <c r="Q29" s="13"/>
      <c r="R29" s="13"/>
      <c r="S29" s="13"/>
      <c r="T29" s="10"/>
      <c r="U29" s="10"/>
      <c r="V29" s="10"/>
      <c r="W29" s="10"/>
      <c r="X29" s="10"/>
      <c r="Y29" s="10"/>
      <c r="Z29" s="10"/>
      <c r="AA29" s="10"/>
      <c r="AB29" s="10"/>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row>
    <row r="30" spans="1:215" s="7" customFormat="1" ht="15.75" x14ac:dyDescent="0.25">
      <c r="A30" s="25"/>
      <c r="B30" s="11"/>
      <c r="C30" s="11"/>
      <c r="D30" s="11"/>
      <c r="E30" s="11"/>
      <c r="F30" s="24"/>
      <c r="G30" s="36"/>
      <c r="H30" s="11"/>
      <c r="I30" s="11"/>
      <c r="J30" s="24"/>
      <c r="K30" s="11"/>
      <c r="L30" s="11"/>
      <c r="M30" s="11"/>
      <c r="N30" s="24"/>
      <c r="O30" s="24"/>
      <c r="P30" s="22"/>
      <c r="Q30" s="22"/>
      <c r="R30" s="22"/>
      <c r="S30" s="22"/>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row>
    <row r="31" spans="1:215" s="7" customFormat="1" ht="15.75" x14ac:dyDescent="0.25">
      <c r="A31" s="25"/>
      <c r="B31" s="24"/>
      <c r="C31" s="24"/>
      <c r="D31" s="24"/>
      <c r="E31" s="24"/>
      <c r="F31" s="24"/>
      <c r="G31" s="25" t="s">
        <v>1066</v>
      </c>
      <c r="H31" s="24"/>
      <c r="I31" s="24"/>
      <c r="J31" s="24"/>
      <c r="K31" s="24" t="s">
        <v>1066</v>
      </c>
      <c r="L31" s="24"/>
      <c r="M31" s="24"/>
      <c r="N31" s="24"/>
      <c r="O31" s="24"/>
      <c r="P31" s="22"/>
      <c r="Q31" s="22"/>
      <c r="R31" s="22"/>
      <c r="S31" s="22"/>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row>
  </sheetData>
  <autoFilter ref="A6:Y9" xr:uid="{00000000-0009-0000-0000-000002000000}">
    <filterColumn colId="3" showButton="0"/>
    <filterColumn colId="4" showButton="0"/>
  </autoFilter>
  <mergeCells count="217">
    <mergeCell ref="HG24:HG25"/>
    <mergeCell ref="G25:J25"/>
    <mergeCell ref="HA24:HA25"/>
    <mergeCell ref="HB24:HB25"/>
    <mergeCell ref="HC24:HC25"/>
    <mergeCell ref="HD24:HD25"/>
    <mergeCell ref="HE24:HE25"/>
    <mergeCell ref="HF24:HF25"/>
    <mergeCell ref="GU24:GU25"/>
    <mergeCell ref="GV24:GV25"/>
    <mergeCell ref="GW24:GW25"/>
    <mergeCell ref="GX24:GX25"/>
    <mergeCell ref="GY24:GY25"/>
    <mergeCell ref="GZ24:GZ25"/>
    <mergeCell ref="GO24:GO25"/>
    <mergeCell ref="GP24:GP25"/>
    <mergeCell ref="GQ24:GQ25"/>
    <mergeCell ref="GR24:GR25"/>
    <mergeCell ref="GS24:GS25"/>
    <mergeCell ref="GT24:GT25"/>
    <mergeCell ref="GI24:GI25"/>
    <mergeCell ref="GJ24:GJ25"/>
    <mergeCell ref="GK24:GK25"/>
    <mergeCell ref="GL24:GL25"/>
    <mergeCell ref="GM24:GM25"/>
    <mergeCell ref="GN24:GN25"/>
    <mergeCell ref="GC24:GC25"/>
    <mergeCell ref="GD24:GD25"/>
    <mergeCell ref="GE24:GE25"/>
    <mergeCell ref="GF24:GF25"/>
    <mergeCell ref="GG24:GG25"/>
    <mergeCell ref="GH24:GH25"/>
    <mergeCell ref="FW24:FW25"/>
    <mergeCell ref="FX24:FX25"/>
    <mergeCell ref="FY24:FY25"/>
    <mergeCell ref="FZ24:FZ25"/>
    <mergeCell ref="GA24:GA25"/>
    <mergeCell ref="GB24:GB25"/>
    <mergeCell ref="FQ24:FQ25"/>
    <mergeCell ref="FR24:FR25"/>
    <mergeCell ref="FS24:FS25"/>
    <mergeCell ref="FT24:FT25"/>
    <mergeCell ref="FU24:FU25"/>
    <mergeCell ref="FV24:FV25"/>
    <mergeCell ref="FK24:FK25"/>
    <mergeCell ref="FL24:FL25"/>
    <mergeCell ref="FM24:FM25"/>
    <mergeCell ref="FN24:FN25"/>
    <mergeCell ref="FO24:FO25"/>
    <mergeCell ref="FP24:FP25"/>
    <mergeCell ref="FE24:FE25"/>
    <mergeCell ref="FF24:FF25"/>
    <mergeCell ref="FG24:FG25"/>
    <mergeCell ref="FH24:FH25"/>
    <mergeCell ref="FI24:FI25"/>
    <mergeCell ref="FJ24:FJ25"/>
    <mergeCell ref="EY24:EY25"/>
    <mergeCell ref="EZ24:EZ25"/>
    <mergeCell ref="FA24:FA25"/>
    <mergeCell ref="FB24:FB25"/>
    <mergeCell ref="FC24:FC25"/>
    <mergeCell ref="FD24:FD25"/>
    <mergeCell ref="ES24:ES25"/>
    <mergeCell ref="ET24:ET25"/>
    <mergeCell ref="EU24:EU25"/>
    <mergeCell ref="EV24:EV25"/>
    <mergeCell ref="EW24:EW25"/>
    <mergeCell ref="EX24:EX25"/>
    <mergeCell ref="EM24:EM25"/>
    <mergeCell ref="EN24:EN25"/>
    <mergeCell ref="EO24:EO25"/>
    <mergeCell ref="EP24:EP25"/>
    <mergeCell ref="EQ24:EQ25"/>
    <mergeCell ref="ER24:ER25"/>
    <mergeCell ref="EG24:EG25"/>
    <mergeCell ref="EH24:EH25"/>
    <mergeCell ref="EI24:EI25"/>
    <mergeCell ref="EJ24:EJ25"/>
    <mergeCell ref="EK24:EK25"/>
    <mergeCell ref="EL24:EL25"/>
    <mergeCell ref="EA24:EA25"/>
    <mergeCell ref="EB24:EB25"/>
    <mergeCell ref="EC24:EC25"/>
    <mergeCell ref="ED24:ED25"/>
    <mergeCell ref="EE24:EE25"/>
    <mergeCell ref="EF24:EF25"/>
    <mergeCell ref="DU24:DU25"/>
    <mergeCell ref="DV24:DV25"/>
    <mergeCell ref="DW24:DW25"/>
    <mergeCell ref="DX24:DX25"/>
    <mergeCell ref="DY24:DY25"/>
    <mergeCell ref="DZ24:DZ25"/>
    <mergeCell ref="DO24:DO25"/>
    <mergeCell ref="DP24:DP25"/>
    <mergeCell ref="DQ24:DQ25"/>
    <mergeCell ref="DR24:DR25"/>
    <mergeCell ref="DS24:DS25"/>
    <mergeCell ref="DT24:DT25"/>
    <mergeCell ref="DI24:DI25"/>
    <mergeCell ref="DJ24:DJ25"/>
    <mergeCell ref="DK24:DK25"/>
    <mergeCell ref="DL24:DL25"/>
    <mergeCell ref="DM24:DM25"/>
    <mergeCell ref="DN24:DN25"/>
    <mergeCell ref="DC24:DC25"/>
    <mergeCell ref="DD24:DD25"/>
    <mergeCell ref="DE24:DE25"/>
    <mergeCell ref="DF24:DF25"/>
    <mergeCell ref="DG24:DG25"/>
    <mergeCell ref="DH24:DH25"/>
    <mergeCell ref="CW24:CW25"/>
    <mergeCell ref="CX24:CX25"/>
    <mergeCell ref="CY24:CY25"/>
    <mergeCell ref="CZ24:CZ25"/>
    <mergeCell ref="DA24:DA25"/>
    <mergeCell ref="DB24:DB25"/>
    <mergeCell ref="CQ24:CQ25"/>
    <mergeCell ref="CR24:CR25"/>
    <mergeCell ref="CS24:CS25"/>
    <mergeCell ref="CT24:CT25"/>
    <mergeCell ref="CU24:CU25"/>
    <mergeCell ref="CV24:CV25"/>
    <mergeCell ref="CK24:CK25"/>
    <mergeCell ref="CL24:CL25"/>
    <mergeCell ref="CM24:CM25"/>
    <mergeCell ref="CN24:CN25"/>
    <mergeCell ref="CO24:CO25"/>
    <mergeCell ref="CP24:CP25"/>
    <mergeCell ref="CE24:CE25"/>
    <mergeCell ref="CF24:CF25"/>
    <mergeCell ref="CG24:CG25"/>
    <mergeCell ref="CH24:CH25"/>
    <mergeCell ref="CI24:CI25"/>
    <mergeCell ref="CJ24:CJ25"/>
    <mergeCell ref="BY24:BY25"/>
    <mergeCell ref="BZ24:BZ25"/>
    <mergeCell ref="CA24:CA25"/>
    <mergeCell ref="CB24:CB25"/>
    <mergeCell ref="CC24:CC25"/>
    <mergeCell ref="CD24:CD25"/>
    <mergeCell ref="BS24:BS25"/>
    <mergeCell ref="BT24:BT25"/>
    <mergeCell ref="BU24:BU25"/>
    <mergeCell ref="BV24:BV25"/>
    <mergeCell ref="BW24:BW25"/>
    <mergeCell ref="BX24:BX25"/>
    <mergeCell ref="BM24:BM25"/>
    <mergeCell ref="BN24:BN25"/>
    <mergeCell ref="BO24:BO25"/>
    <mergeCell ref="BP24:BP25"/>
    <mergeCell ref="BQ24:BQ25"/>
    <mergeCell ref="BR24:BR25"/>
    <mergeCell ref="BG24:BG25"/>
    <mergeCell ref="BH24:BH25"/>
    <mergeCell ref="BI24:BI25"/>
    <mergeCell ref="BJ24:BJ25"/>
    <mergeCell ref="BK24:BK25"/>
    <mergeCell ref="BL24:BL25"/>
    <mergeCell ref="BA24:BA25"/>
    <mergeCell ref="BB24:BB25"/>
    <mergeCell ref="BC24:BC25"/>
    <mergeCell ref="BD24:BD25"/>
    <mergeCell ref="BE24:BE25"/>
    <mergeCell ref="BF24:BF25"/>
    <mergeCell ref="AU24:AU25"/>
    <mergeCell ref="AV24:AV25"/>
    <mergeCell ref="AW24:AW25"/>
    <mergeCell ref="AX24:AX25"/>
    <mergeCell ref="AY24:AY25"/>
    <mergeCell ref="AZ24:AZ25"/>
    <mergeCell ref="AO24:AO25"/>
    <mergeCell ref="AP24:AP25"/>
    <mergeCell ref="AQ24:AQ25"/>
    <mergeCell ref="AR24:AR25"/>
    <mergeCell ref="AS24:AS25"/>
    <mergeCell ref="AT24:AT25"/>
    <mergeCell ref="AI24:AI25"/>
    <mergeCell ref="AJ24:AJ25"/>
    <mergeCell ref="AK24:AK25"/>
    <mergeCell ref="AL24:AL25"/>
    <mergeCell ref="AM24:AM25"/>
    <mergeCell ref="AN24:AN25"/>
    <mergeCell ref="AC24:AC25"/>
    <mergeCell ref="AD24:AD25"/>
    <mergeCell ref="AE24:AE25"/>
    <mergeCell ref="AF24:AF25"/>
    <mergeCell ref="AG24:AG25"/>
    <mergeCell ref="AH24:AH25"/>
    <mergeCell ref="W24:W25"/>
    <mergeCell ref="X24:X25"/>
    <mergeCell ref="Y24:Y25"/>
    <mergeCell ref="Z24:Z25"/>
    <mergeCell ref="AA24:AA25"/>
    <mergeCell ref="AB24:AB25"/>
    <mergeCell ref="R24:R25"/>
    <mergeCell ref="S24:S25"/>
    <mergeCell ref="T24:T25"/>
    <mergeCell ref="U24:U25"/>
    <mergeCell ref="V24:V25"/>
    <mergeCell ref="K24:K25"/>
    <mergeCell ref="L24:L25"/>
    <mergeCell ref="M24:M25"/>
    <mergeCell ref="N24:N25"/>
    <mergeCell ref="O24:O25"/>
    <mergeCell ref="P24:P25"/>
    <mergeCell ref="D6:F6"/>
    <mergeCell ref="A24:A25"/>
    <mergeCell ref="C24:C25"/>
    <mergeCell ref="D24:D25"/>
    <mergeCell ref="E24:E25"/>
    <mergeCell ref="F24:F25"/>
    <mergeCell ref="G24:J24"/>
    <mergeCell ref="B18:Q18"/>
    <mergeCell ref="A20:I20"/>
    <mergeCell ref="B22:E22"/>
    <mergeCell ref="G23:H23"/>
    <mergeCell ref="Q24:Q25"/>
  </mergeCells>
  <hyperlinks>
    <hyperlink ref="Y8" r:id="rId1" xr:uid="{00000000-0004-0000-0200-000000000000}"/>
  </hyperlinks>
  <printOptions horizontalCentered="1" verticalCentered="1"/>
  <pageMargins left="0.70866141732283472" right="0.70866141732283472" top="0.74803149606299213" bottom="0.74803149606299213" header="0.31496062992125984" footer="0.31496062992125984"/>
  <pageSetup paperSize="14" scale="24"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091F4BC67BECC44BBC243C17A016314" ma:contentTypeVersion="18" ma:contentTypeDescription="Crear nuevo documento." ma:contentTypeScope="" ma:versionID="c3eeb473c1fbf455a3b450f948b070d5">
  <xsd:schema xmlns:xsd="http://www.w3.org/2001/XMLSchema" xmlns:xs="http://www.w3.org/2001/XMLSchema" xmlns:p="http://schemas.microsoft.com/office/2006/metadata/properties" xmlns:ns3="c5d639e7-08af-42bc-b232-172a9ace2326" xmlns:ns4="8757c181-039b-4fd3-b5b4-f193ecef8269" targetNamespace="http://schemas.microsoft.com/office/2006/metadata/properties" ma:root="true" ma:fieldsID="4593507ab71257d824b53fdcbfbe354e" ns3:_="" ns4:_="">
    <xsd:import namespace="c5d639e7-08af-42bc-b232-172a9ace2326"/>
    <xsd:import namespace="8757c181-039b-4fd3-b5b4-f193ecef826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d639e7-08af-42bc-b232-172a9ace23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57c181-039b-4fd3-b5b4-f193ecef826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5d639e7-08af-42bc-b232-172a9ace2326" xsi:nil="true"/>
  </documentManagement>
</p:properties>
</file>

<file path=customXml/itemProps1.xml><?xml version="1.0" encoding="utf-8"?>
<ds:datastoreItem xmlns:ds="http://schemas.openxmlformats.org/officeDocument/2006/customXml" ds:itemID="{C740E160-4171-4611-B81B-A81B3B5285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d639e7-08af-42bc-b232-172a9ace2326"/>
    <ds:schemaRef ds:uri="8757c181-039b-4fd3-b5b4-f193ecef82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96C973-4930-4E78-8A86-647CEBD3D7C2}">
  <ds:schemaRefs>
    <ds:schemaRef ds:uri="http://schemas.microsoft.com/sharepoint/v3/contenttype/forms"/>
  </ds:schemaRefs>
</ds:datastoreItem>
</file>

<file path=customXml/itemProps3.xml><?xml version="1.0" encoding="utf-8"?>
<ds:datastoreItem xmlns:ds="http://schemas.openxmlformats.org/officeDocument/2006/customXml" ds:itemID="{3D9156C9-9B37-4757-973B-8BA2022030EC}">
  <ds:schemaRefs>
    <ds:schemaRef ds:uri="http://schemas.microsoft.com/office/2006/metadata/properties"/>
    <ds:schemaRef ds:uri="http://schemas.microsoft.com/office/infopath/2007/PartnerControls"/>
    <ds:schemaRef ds:uri="c5d639e7-08af-42bc-b232-172a9ace232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PRESENTACION </vt:lpstr>
      <vt:lpstr>PAA </vt:lpstr>
      <vt:lpstr>SECRETARIA 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Luz Amanda Muñoz Santisteban</dc:creator>
  <cp:keywords/>
  <dc:description/>
  <cp:lastModifiedBy>Pahola Andrea Ardila Puerto</cp:lastModifiedBy>
  <cp:revision/>
  <dcterms:created xsi:type="dcterms:W3CDTF">2016-06-03T19:17:40Z</dcterms:created>
  <dcterms:modified xsi:type="dcterms:W3CDTF">2024-12-27T18:22:22Z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0x0101004091F4BC67BECC44BBC243C17A016314</vt:lpwstr>
  </property>
</Properties>
</file>